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80"/>
  </bookViews>
  <sheets>
    <sheet name="2024" sheetId="1" r:id="rId1"/>
  </sheets>
  <externalReferences>
    <externalReference r:id="rId2"/>
  </externalReferences>
  <definedNames>
    <definedName name="_xlnm._FilterDatabase" localSheetId="0" hidden="1">'2024'!$A$8:$DV$68</definedName>
    <definedName name="_xlnm.Print_Titles" localSheetId="0">'2024'!$A:$D,'2024'!$1:$7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4" i="1" l="1"/>
  <c r="AY34" i="1" s="1"/>
  <c r="BB34" i="1" s="1"/>
  <c r="AU21" i="1"/>
  <c r="AY21" i="1" s="1"/>
  <c r="BB21" i="1" s="1"/>
  <c r="AU31" i="1"/>
  <c r="AY31" i="1" s="1"/>
  <c r="BB31" i="1" s="1"/>
  <c r="AU26" i="1"/>
  <c r="AY26" i="1" s="1"/>
  <c r="BB26" i="1" s="1"/>
  <c r="AU25" i="1"/>
  <c r="AY25" i="1" s="1"/>
  <c r="BB25" i="1" s="1"/>
  <c r="AU40" i="1"/>
  <c r="AY40" i="1" s="1"/>
  <c r="BB40" i="1" s="1"/>
  <c r="AU23" i="1"/>
  <c r="AY23" i="1" s="1"/>
  <c r="BB23" i="1" s="1"/>
  <c r="AU33" i="1"/>
  <c r="AY33" i="1" s="1"/>
  <c r="BB33" i="1" s="1"/>
  <c r="AU12" i="1"/>
  <c r="AY12" i="1" s="1"/>
  <c r="BB12" i="1" s="1"/>
  <c r="AU16" i="1"/>
  <c r="AY16" i="1" s="1"/>
  <c r="BB16" i="1" s="1"/>
  <c r="AU28" i="1"/>
  <c r="AY28" i="1" s="1"/>
  <c r="BB28" i="1" s="1"/>
  <c r="AU15" i="1"/>
  <c r="AY15" i="1" s="1"/>
  <c r="BB15" i="1" s="1"/>
  <c r="AU38" i="1"/>
  <c r="AY38" i="1" s="1"/>
  <c r="BB38" i="1" s="1"/>
  <c r="AU50" i="1"/>
  <c r="AY50" i="1" s="1"/>
  <c r="BB50" i="1" s="1"/>
  <c r="AU27" i="1"/>
  <c r="AY27" i="1" s="1"/>
  <c r="BB27" i="1" s="1"/>
  <c r="AU49" i="1"/>
  <c r="AY49" i="1" s="1"/>
  <c r="BB49" i="1" s="1"/>
  <c r="AU35" i="1"/>
  <c r="AY35" i="1" s="1"/>
  <c r="BB35" i="1" s="1"/>
  <c r="AU43" i="1"/>
  <c r="AY43" i="1" s="1"/>
  <c r="BB43" i="1" s="1"/>
  <c r="AU56" i="1"/>
  <c r="AY56" i="1" s="1"/>
  <c r="BB56" i="1" s="1"/>
  <c r="AU44" i="1"/>
  <c r="AY44" i="1" s="1"/>
  <c r="BB44" i="1" s="1"/>
  <c r="AU22" i="1"/>
  <c r="AY22" i="1" s="1"/>
  <c r="BB22" i="1" s="1"/>
  <c r="AU24" i="1"/>
  <c r="AY24" i="1" s="1"/>
  <c r="BB24" i="1" s="1"/>
  <c r="AU32" i="1"/>
  <c r="AY32" i="1" s="1"/>
  <c r="BB32" i="1" s="1"/>
  <c r="AU67" i="1"/>
  <c r="AU20" i="1"/>
  <c r="AY20" i="1" s="1"/>
  <c r="BB20" i="1" s="1"/>
  <c r="AU13" i="1"/>
  <c r="AY13" i="1" s="1"/>
  <c r="BB13" i="1" s="1"/>
  <c r="AU39" i="1"/>
  <c r="AY39" i="1" s="1"/>
  <c r="BB39" i="1" s="1"/>
  <c r="AU52" i="1"/>
  <c r="AY52" i="1" s="1"/>
  <c r="BB52" i="1" s="1"/>
  <c r="AU65" i="1"/>
  <c r="AY65" i="1" s="1"/>
  <c r="BB65" i="1" s="1"/>
  <c r="AU53" i="1"/>
  <c r="AY53" i="1" s="1"/>
  <c r="BB53" i="1" s="1"/>
  <c r="AU47" i="1"/>
  <c r="AU30" i="1"/>
  <c r="AU11" i="1"/>
  <c r="AY11" i="1" s="1"/>
  <c r="BB11" i="1" s="1"/>
  <c r="AU46" i="1"/>
  <c r="AU19" i="1"/>
  <c r="AY19" i="1" s="1"/>
  <c r="BB19" i="1" s="1"/>
  <c r="AU41" i="1"/>
  <c r="AU66" i="1"/>
  <c r="AU17" i="1"/>
  <c r="AU61" i="1"/>
  <c r="AU60" i="1"/>
  <c r="AU54" i="1"/>
  <c r="AU10" i="1"/>
  <c r="AY10" i="1" s="1"/>
  <c r="BB10" i="1" s="1"/>
  <c r="AU63" i="1"/>
  <c r="AU48" i="1"/>
  <c r="AU42" i="1"/>
  <c r="AU62" i="1"/>
  <c r="AU36" i="1"/>
  <c r="AU9" i="1"/>
  <c r="AU45" i="1"/>
  <c r="AU18" i="1"/>
  <c r="AU57" i="1"/>
  <c r="AU58" i="1"/>
  <c r="AU59" i="1"/>
  <c r="AU14" i="1"/>
  <c r="AU55" i="1"/>
  <c r="AU37" i="1"/>
  <c r="AU51" i="1"/>
  <c r="AU64" i="1"/>
  <c r="AU29" i="1"/>
  <c r="AY29" i="1" s="1"/>
  <c r="BB29" i="1" s="1"/>
  <c r="AV34" i="1"/>
  <c r="AV21" i="1"/>
  <c r="AV31" i="1"/>
  <c r="AV26" i="1"/>
  <c r="AV25" i="1"/>
  <c r="AV40" i="1"/>
  <c r="AV23" i="1"/>
  <c r="AV33" i="1"/>
  <c r="AV12" i="1"/>
  <c r="AV16" i="1"/>
  <c r="AV28" i="1"/>
  <c r="AV15" i="1"/>
  <c r="AV38" i="1"/>
  <c r="AV50" i="1"/>
  <c r="AV27" i="1"/>
  <c r="AV49" i="1"/>
  <c r="AV35" i="1"/>
  <c r="AV43" i="1"/>
  <c r="AV56" i="1"/>
  <c r="AV44" i="1"/>
  <c r="AV22" i="1"/>
  <c r="AV24" i="1"/>
  <c r="AV32" i="1"/>
  <c r="AV67" i="1"/>
  <c r="AV20" i="1"/>
  <c r="AV13" i="1"/>
  <c r="AV39" i="1"/>
  <c r="AV52" i="1"/>
  <c r="AV65" i="1"/>
  <c r="AV53" i="1"/>
  <c r="AV47" i="1"/>
  <c r="AV30" i="1"/>
  <c r="AV11" i="1"/>
  <c r="AV46" i="1"/>
  <c r="AV19" i="1"/>
  <c r="AV41" i="1"/>
  <c r="AV66" i="1"/>
  <c r="AV17" i="1"/>
  <c r="AV61" i="1"/>
  <c r="AV60" i="1"/>
  <c r="AV54" i="1"/>
  <c r="AV10" i="1"/>
  <c r="AV63" i="1"/>
  <c r="AV48" i="1"/>
  <c r="AV42" i="1"/>
  <c r="AV62" i="1"/>
  <c r="AV36" i="1"/>
  <c r="AV9" i="1"/>
  <c r="AV45" i="1"/>
  <c r="AV18" i="1"/>
  <c r="AV57" i="1"/>
  <c r="AV58" i="1"/>
  <c r="AV59" i="1"/>
  <c r="AV14" i="1"/>
  <c r="AV55" i="1"/>
  <c r="AV37" i="1"/>
  <c r="AV51" i="1"/>
  <c r="AV64" i="1"/>
  <c r="AV29" i="1"/>
  <c r="AP34" i="1"/>
  <c r="AO34" i="1" s="1"/>
  <c r="AP21" i="1"/>
  <c r="AO21" i="1" s="1"/>
  <c r="AP31" i="1"/>
  <c r="AO31" i="1" s="1"/>
  <c r="AP26" i="1"/>
  <c r="AO26" i="1" s="1"/>
  <c r="AP25" i="1"/>
  <c r="AO25" i="1" s="1"/>
  <c r="AP40" i="1"/>
  <c r="AO40" i="1" s="1"/>
  <c r="AP23" i="1"/>
  <c r="AO23" i="1" s="1"/>
  <c r="AP33" i="1"/>
  <c r="AO33" i="1" s="1"/>
  <c r="AP12" i="1"/>
  <c r="AO12" i="1" s="1"/>
  <c r="AP16" i="1"/>
  <c r="AO16" i="1" s="1"/>
  <c r="AP28" i="1"/>
  <c r="AO28" i="1" s="1"/>
  <c r="AP15" i="1"/>
  <c r="AO15" i="1" s="1"/>
  <c r="AP38" i="1"/>
  <c r="AO38" i="1" s="1"/>
  <c r="AP50" i="1"/>
  <c r="AO50" i="1" s="1"/>
  <c r="AP27" i="1"/>
  <c r="AO27" i="1" s="1"/>
  <c r="AP49" i="1"/>
  <c r="AO49" i="1" s="1"/>
  <c r="AP35" i="1"/>
  <c r="AO35" i="1" s="1"/>
  <c r="AP43" i="1"/>
  <c r="AO43" i="1" s="1"/>
  <c r="AP56" i="1"/>
  <c r="AO56" i="1" s="1"/>
  <c r="AP44" i="1"/>
  <c r="AO44" i="1" s="1"/>
  <c r="AP22" i="1"/>
  <c r="AO22" i="1" s="1"/>
  <c r="AP24" i="1"/>
  <c r="AO24" i="1" s="1"/>
  <c r="AP32" i="1"/>
  <c r="AO32" i="1" s="1"/>
  <c r="AP67" i="1"/>
  <c r="AO67" i="1" s="1"/>
  <c r="AP20" i="1"/>
  <c r="AO20" i="1" s="1"/>
  <c r="AP13" i="1"/>
  <c r="AO13" i="1" s="1"/>
  <c r="AP39" i="1"/>
  <c r="AO39" i="1" s="1"/>
  <c r="AP52" i="1"/>
  <c r="AO52" i="1" s="1"/>
  <c r="AP65" i="1"/>
  <c r="AO65" i="1" s="1"/>
  <c r="AP53" i="1"/>
  <c r="AO53" i="1" s="1"/>
  <c r="AP47" i="1"/>
  <c r="AO47" i="1" s="1"/>
  <c r="AP30" i="1"/>
  <c r="AO30" i="1" s="1"/>
  <c r="AP11" i="1"/>
  <c r="AO11" i="1" s="1"/>
  <c r="AP46" i="1"/>
  <c r="AO46" i="1" s="1"/>
  <c r="AP19" i="1"/>
  <c r="AO19" i="1" s="1"/>
  <c r="AP41" i="1"/>
  <c r="AO41" i="1" s="1"/>
  <c r="AP66" i="1"/>
  <c r="AO66" i="1" s="1"/>
  <c r="AP17" i="1"/>
  <c r="AO17" i="1" s="1"/>
  <c r="AP61" i="1"/>
  <c r="AO61" i="1" s="1"/>
  <c r="AP60" i="1"/>
  <c r="AO60" i="1" s="1"/>
  <c r="AP54" i="1"/>
  <c r="AO54" i="1" s="1"/>
  <c r="AP10" i="1"/>
  <c r="AO10" i="1" s="1"/>
  <c r="AP63" i="1"/>
  <c r="AO63" i="1" s="1"/>
  <c r="AP48" i="1"/>
  <c r="AO48" i="1" s="1"/>
  <c r="AP42" i="1"/>
  <c r="AO42" i="1" s="1"/>
  <c r="AP62" i="1"/>
  <c r="AO62" i="1" s="1"/>
  <c r="AP36" i="1"/>
  <c r="AO36" i="1" s="1"/>
  <c r="AP9" i="1"/>
  <c r="AO9" i="1" s="1"/>
  <c r="AP45" i="1"/>
  <c r="AO45" i="1" s="1"/>
  <c r="AP18" i="1"/>
  <c r="AO18" i="1" s="1"/>
  <c r="AP57" i="1"/>
  <c r="AO57" i="1" s="1"/>
  <c r="AP58" i="1"/>
  <c r="AO58" i="1" s="1"/>
  <c r="AP59" i="1"/>
  <c r="AO59" i="1" s="1"/>
  <c r="AP14" i="1"/>
  <c r="AO14" i="1" s="1"/>
  <c r="AP55" i="1"/>
  <c r="AO55" i="1" s="1"/>
  <c r="AP37" i="1"/>
  <c r="AO37" i="1" s="1"/>
  <c r="AP51" i="1"/>
  <c r="AO51" i="1" s="1"/>
  <c r="AP64" i="1"/>
  <c r="AO64" i="1" s="1"/>
  <c r="AP29" i="1"/>
  <c r="AO29" i="1" s="1"/>
  <c r="P68" i="1"/>
  <c r="O68" i="1"/>
  <c r="L68" i="1"/>
  <c r="K68" i="1"/>
  <c r="H68" i="1"/>
  <c r="S34" i="1"/>
  <c r="S21" i="1"/>
  <c r="S31" i="1"/>
  <c r="S26" i="1"/>
  <c r="S25" i="1"/>
  <c r="S40" i="1"/>
  <c r="S23" i="1"/>
  <c r="S33" i="1"/>
  <c r="S12" i="1"/>
  <c r="S16" i="1"/>
  <c r="S28" i="1"/>
  <c r="S15" i="1"/>
  <c r="S38" i="1"/>
  <c r="S50" i="1"/>
  <c r="S27" i="1"/>
  <c r="S49" i="1"/>
  <c r="S35" i="1"/>
  <c r="S43" i="1"/>
  <c r="S56" i="1"/>
  <c r="S44" i="1"/>
  <c r="S22" i="1"/>
  <c r="S24" i="1"/>
  <c r="S32" i="1"/>
  <c r="S67" i="1"/>
  <c r="S20" i="1"/>
  <c r="S13" i="1"/>
  <c r="S39" i="1"/>
  <c r="S52" i="1"/>
  <c r="S65" i="1"/>
  <c r="S53" i="1"/>
  <c r="S47" i="1"/>
  <c r="S30" i="1"/>
  <c r="S11" i="1"/>
  <c r="S46" i="1"/>
  <c r="S19" i="1"/>
  <c r="S41" i="1"/>
  <c r="S66" i="1"/>
  <c r="S17" i="1"/>
  <c r="S61" i="1"/>
  <c r="S60" i="1"/>
  <c r="S54" i="1"/>
  <c r="S10" i="1"/>
  <c r="S63" i="1"/>
  <c r="S48" i="1"/>
  <c r="S42" i="1"/>
  <c r="S62" i="1"/>
  <c r="S36" i="1"/>
  <c r="S9" i="1"/>
  <c r="S45" i="1"/>
  <c r="S18" i="1"/>
  <c r="S57" i="1"/>
  <c r="S58" i="1"/>
  <c r="S59" i="1"/>
  <c r="S14" i="1"/>
  <c r="S55" i="1"/>
  <c r="S37" i="1"/>
  <c r="S51" i="1"/>
  <c r="S64" i="1"/>
  <c r="S29" i="1"/>
  <c r="DT68" i="1" l="1"/>
  <c r="DS68" i="1"/>
  <c r="DP68" i="1"/>
  <c r="DO68" i="1"/>
  <c r="DL68" i="1"/>
  <c r="DK68" i="1"/>
  <c r="DI68" i="1"/>
  <c r="DH68" i="1"/>
  <c r="DE68" i="1"/>
  <c r="DD68" i="1"/>
  <c r="CX68" i="1"/>
  <c r="CW68" i="1"/>
  <c r="CU68" i="1"/>
  <c r="CT68" i="1"/>
  <c r="CR68" i="1"/>
  <c r="CP68" i="1"/>
  <c r="CN68" i="1"/>
  <c r="CM68" i="1"/>
  <c r="CK68" i="1"/>
  <c r="CI68" i="1"/>
  <c r="CH68" i="1"/>
  <c r="CE68" i="1"/>
  <c r="CD68" i="1"/>
  <c r="CC68" i="1"/>
  <c r="BZ68" i="1"/>
  <c r="BV68" i="1"/>
  <c r="BU68" i="1"/>
  <c r="BT68" i="1"/>
  <c r="BS68" i="1"/>
  <c r="BP68" i="1"/>
  <c r="BO68" i="1"/>
  <c r="BN68" i="1"/>
  <c r="BM68" i="1"/>
  <c r="BJ68" i="1"/>
  <c r="BI68" i="1"/>
  <c r="BG68" i="1"/>
  <c r="BF68" i="1"/>
  <c r="BC68" i="1"/>
  <c r="BB68" i="1"/>
  <c r="AZ68" i="1"/>
  <c r="AY68" i="1"/>
  <c r="AV68" i="1"/>
  <c r="AU68" i="1"/>
  <c r="AR68" i="1"/>
  <c r="AQ68" i="1"/>
  <c r="AN68" i="1"/>
  <c r="AM68" i="1"/>
  <c r="AL68" i="1"/>
  <c r="AJ68" i="1"/>
  <c r="AI68" i="1"/>
  <c r="AF68" i="1"/>
  <c r="AE68" i="1"/>
  <c r="AB68" i="1"/>
  <c r="AA68" i="1"/>
  <c r="Z68" i="1"/>
  <c r="Y68" i="1"/>
  <c r="X68" i="1"/>
  <c r="W68" i="1"/>
  <c r="T68" i="1"/>
  <c r="S68" i="1"/>
  <c r="G68" i="1"/>
  <c r="DR67" i="1"/>
  <c r="DQ67" i="1"/>
  <c r="DN67" i="1"/>
  <c r="DM67" i="1" s="1"/>
  <c r="DJ67" i="1"/>
  <c r="DG67" i="1"/>
  <c r="DF67" i="1" s="1"/>
  <c r="DC67" i="1"/>
  <c r="DB67" i="1"/>
  <c r="CY67" i="1"/>
  <c r="CV67" i="1"/>
  <c r="CQ67" i="1"/>
  <c r="CO67" i="1"/>
  <c r="CL67" i="1"/>
  <c r="CJ67" i="1"/>
  <c r="CG67" i="1"/>
  <c r="CF67" i="1"/>
  <c r="CB67" i="1"/>
  <c r="CA67" i="1"/>
  <c r="BX67" i="1"/>
  <c r="BW67" i="1" s="1"/>
  <c r="BR67" i="1"/>
  <c r="BQ67" i="1" s="1"/>
  <c r="BL67" i="1"/>
  <c r="BK67" i="1" s="1"/>
  <c r="BH67" i="1"/>
  <c r="BE67" i="1"/>
  <c r="BD67" i="1" s="1"/>
  <c r="AX67" i="1"/>
  <c r="AW67" i="1" s="1"/>
  <c r="AT67" i="1"/>
  <c r="AS67" i="1" s="1"/>
  <c r="AH67" i="1"/>
  <c r="AG67" i="1" s="1"/>
  <c r="AD67" i="1"/>
  <c r="AC67" i="1"/>
  <c r="V67" i="1"/>
  <c r="U67" i="1" s="1"/>
  <c r="R67" i="1"/>
  <c r="Q67" i="1"/>
  <c r="N67" i="1"/>
  <c r="J67" i="1"/>
  <c r="I67" i="1"/>
  <c r="DR16" i="1"/>
  <c r="DQ16" i="1"/>
  <c r="DN16" i="1"/>
  <c r="DM16" i="1" s="1"/>
  <c r="DJ16" i="1"/>
  <c r="DG16" i="1"/>
  <c r="DF16" i="1" s="1"/>
  <c r="DC16" i="1"/>
  <c r="DB16" i="1"/>
  <c r="CY16" i="1"/>
  <c r="CV16" i="1"/>
  <c r="CQ16" i="1"/>
  <c r="CO16" i="1"/>
  <c r="CL16" i="1"/>
  <c r="CJ16" i="1"/>
  <c r="CG16" i="1"/>
  <c r="CF16" i="1"/>
  <c r="CB16" i="1"/>
  <c r="CA16" i="1"/>
  <c r="BX16" i="1"/>
  <c r="BW16" i="1" s="1"/>
  <c r="BR16" i="1"/>
  <c r="BQ16" i="1" s="1"/>
  <c r="BL16" i="1"/>
  <c r="BK16" i="1" s="1"/>
  <c r="BH16" i="1"/>
  <c r="BE16" i="1"/>
  <c r="BD16" i="1" s="1"/>
  <c r="AX16" i="1"/>
  <c r="AW16" i="1" s="1"/>
  <c r="AT16" i="1"/>
  <c r="AS16" i="1" s="1"/>
  <c r="AH16" i="1"/>
  <c r="AG16" i="1" s="1"/>
  <c r="AD16" i="1"/>
  <c r="AC16" i="1"/>
  <c r="V16" i="1"/>
  <c r="U16" i="1"/>
  <c r="R16" i="1"/>
  <c r="Q16" i="1"/>
  <c r="N16" i="1"/>
  <c r="M16" i="1"/>
  <c r="J16" i="1"/>
  <c r="I16" i="1"/>
  <c r="F16" i="1"/>
  <c r="E16" i="1" s="1"/>
  <c r="DR24" i="1"/>
  <c r="DQ24" i="1"/>
  <c r="DN24" i="1"/>
  <c r="DM24" i="1" s="1"/>
  <c r="DJ24" i="1"/>
  <c r="DG24" i="1"/>
  <c r="DF24" i="1" s="1"/>
  <c r="DC24" i="1"/>
  <c r="DB24" i="1"/>
  <c r="CY24" i="1"/>
  <c r="CV24" i="1"/>
  <c r="CQ24" i="1"/>
  <c r="CO24" i="1"/>
  <c r="CL24" i="1"/>
  <c r="CJ24" i="1"/>
  <c r="CG24" i="1"/>
  <c r="CF24" i="1"/>
  <c r="CB24" i="1"/>
  <c r="CA24" i="1"/>
  <c r="BX24" i="1"/>
  <c r="BW24" i="1" s="1"/>
  <c r="BR24" i="1"/>
  <c r="BQ24" i="1" s="1"/>
  <c r="BL24" i="1"/>
  <c r="BK24" i="1" s="1"/>
  <c r="BH24" i="1"/>
  <c r="BE24" i="1"/>
  <c r="BD24" i="1" s="1"/>
  <c r="AX24" i="1"/>
  <c r="AW24" i="1" s="1"/>
  <c r="AT24" i="1"/>
  <c r="AS24" i="1" s="1"/>
  <c r="AH24" i="1"/>
  <c r="AG24" i="1" s="1"/>
  <c r="AD24" i="1"/>
  <c r="AC24" i="1"/>
  <c r="V24" i="1"/>
  <c r="U24" i="1" s="1"/>
  <c r="R24" i="1"/>
  <c r="Q24" i="1"/>
  <c r="N24" i="1"/>
  <c r="M24" i="1"/>
  <c r="J24" i="1"/>
  <c r="I24" i="1"/>
  <c r="F24" i="1"/>
  <c r="E24" i="1" s="1"/>
  <c r="DR27" i="1"/>
  <c r="DQ27" i="1"/>
  <c r="DN27" i="1"/>
  <c r="DM27" i="1" s="1"/>
  <c r="DJ27" i="1"/>
  <c r="DG27" i="1"/>
  <c r="DF27" i="1" s="1"/>
  <c r="DC27" i="1"/>
  <c r="DB27" i="1"/>
  <c r="CY27" i="1"/>
  <c r="CV27" i="1"/>
  <c r="CQ27" i="1"/>
  <c r="CO27" i="1"/>
  <c r="CL27" i="1"/>
  <c r="CJ27" i="1"/>
  <c r="CG27" i="1"/>
  <c r="CF27" i="1"/>
  <c r="CB27" i="1"/>
  <c r="CA27" i="1"/>
  <c r="BX27" i="1"/>
  <c r="BW27" i="1" s="1"/>
  <c r="BR27" i="1"/>
  <c r="BQ27" i="1" s="1"/>
  <c r="BL27" i="1"/>
  <c r="BK27" i="1" s="1"/>
  <c r="BH27" i="1"/>
  <c r="BE27" i="1"/>
  <c r="BD27" i="1" s="1"/>
  <c r="AX27" i="1"/>
  <c r="AW27" i="1" s="1"/>
  <c r="AT27" i="1"/>
  <c r="AS27" i="1" s="1"/>
  <c r="AH27" i="1"/>
  <c r="AG27" i="1" s="1"/>
  <c r="AD27" i="1"/>
  <c r="AC27" i="1"/>
  <c r="V27" i="1"/>
  <c r="U27" i="1" s="1"/>
  <c r="R27" i="1"/>
  <c r="Q27" i="1"/>
  <c r="N27" i="1"/>
  <c r="M27" i="1"/>
  <c r="J27" i="1"/>
  <c r="I27" i="1"/>
  <c r="F27" i="1"/>
  <c r="E27" i="1" s="1"/>
  <c r="DR35" i="1"/>
  <c r="DQ35" i="1"/>
  <c r="DN35" i="1"/>
  <c r="DM35" i="1" s="1"/>
  <c r="DJ35" i="1"/>
  <c r="DG35" i="1"/>
  <c r="DF35" i="1" s="1"/>
  <c r="DC35" i="1"/>
  <c r="DB35" i="1"/>
  <c r="CY35" i="1"/>
  <c r="CV35" i="1"/>
  <c r="CQ35" i="1"/>
  <c r="CO35" i="1"/>
  <c r="CL35" i="1"/>
  <c r="CJ35" i="1"/>
  <c r="CG35" i="1"/>
  <c r="CF35" i="1"/>
  <c r="CB35" i="1"/>
  <c r="CA35" i="1"/>
  <c r="BX35" i="1"/>
  <c r="BW35" i="1" s="1"/>
  <c r="BR35" i="1"/>
  <c r="BQ35" i="1" s="1"/>
  <c r="BL35" i="1"/>
  <c r="BK35" i="1" s="1"/>
  <c r="BH35" i="1"/>
  <c r="BE35" i="1"/>
  <c r="BD35" i="1" s="1"/>
  <c r="AX35" i="1"/>
  <c r="AW35" i="1" s="1"/>
  <c r="AT35" i="1"/>
  <c r="AS35" i="1" s="1"/>
  <c r="AH35" i="1"/>
  <c r="AG35" i="1" s="1"/>
  <c r="AD35" i="1"/>
  <c r="AC35" i="1"/>
  <c r="V35" i="1"/>
  <c r="U35" i="1" s="1"/>
  <c r="R35" i="1"/>
  <c r="Q35" i="1"/>
  <c r="N35" i="1"/>
  <c r="M35" i="1"/>
  <c r="J35" i="1"/>
  <c r="I35" i="1"/>
  <c r="F35" i="1"/>
  <c r="E35" i="1" s="1"/>
  <c r="DR44" i="1"/>
  <c r="DQ44" i="1"/>
  <c r="DN44" i="1"/>
  <c r="DM44" i="1" s="1"/>
  <c r="DJ44" i="1"/>
  <c r="DG44" i="1"/>
  <c r="DF44" i="1" s="1"/>
  <c r="DC44" i="1"/>
  <c r="DB44" i="1"/>
  <c r="CY44" i="1"/>
  <c r="CV44" i="1"/>
  <c r="CQ44" i="1"/>
  <c r="CO44" i="1"/>
  <c r="CL44" i="1"/>
  <c r="CJ44" i="1"/>
  <c r="CG44" i="1"/>
  <c r="CF44" i="1"/>
  <c r="CB44" i="1"/>
  <c r="CA44" i="1"/>
  <c r="BX44" i="1"/>
  <c r="BW44" i="1" s="1"/>
  <c r="BR44" i="1"/>
  <c r="BQ44" i="1" s="1"/>
  <c r="BL44" i="1"/>
  <c r="BK44" i="1" s="1"/>
  <c r="BH44" i="1"/>
  <c r="BE44" i="1"/>
  <c r="BD44" i="1" s="1"/>
  <c r="AX44" i="1"/>
  <c r="AW44" i="1" s="1"/>
  <c r="AT44" i="1"/>
  <c r="AS44" i="1" s="1"/>
  <c r="AH44" i="1"/>
  <c r="AG44" i="1" s="1"/>
  <c r="AD44" i="1"/>
  <c r="AC44" i="1"/>
  <c r="V44" i="1"/>
  <c r="U44" i="1" s="1"/>
  <c r="R44" i="1"/>
  <c r="Q44" i="1"/>
  <c r="N44" i="1"/>
  <c r="M44" i="1"/>
  <c r="J44" i="1"/>
  <c r="I44" i="1"/>
  <c r="F44" i="1"/>
  <c r="E44" i="1" s="1"/>
  <c r="DR41" i="1"/>
  <c r="DQ41" i="1"/>
  <c r="DN41" i="1"/>
  <c r="DM41" i="1" s="1"/>
  <c r="DJ41" i="1"/>
  <c r="DG41" i="1"/>
  <c r="DF41" i="1" s="1"/>
  <c r="DC41" i="1"/>
  <c r="DB41" i="1"/>
  <c r="CY41" i="1"/>
  <c r="CV41" i="1"/>
  <c r="CQ41" i="1"/>
  <c r="CO41" i="1"/>
  <c r="CL41" i="1"/>
  <c r="CJ41" i="1"/>
  <c r="CG41" i="1"/>
  <c r="CF41" i="1"/>
  <c r="CB41" i="1"/>
  <c r="CA41" i="1"/>
  <c r="BX41" i="1"/>
  <c r="BW41" i="1" s="1"/>
  <c r="BR41" i="1"/>
  <c r="BQ41" i="1" s="1"/>
  <c r="BL41" i="1"/>
  <c r="BK41" i="1" s="1"/>
  <c r="BH41" i="1"/>
  <c r="BE41" i="1"/>
  <c r="BD41" i="1" s="1"/>
  <c r="AX41" i="1"/>
  <c r="AW41" i="1" s="1"/>
  <c r="AT41" i="1"/>
  <c r="AS41" i="1" s="1"/>
  <c r="AH41" i="1"/>
  <c r="AG41" i="1" s="1"/>
  <c r="AD41" i="1"/>
  <c r="AC41" i="1"/>
  <c r="V41" i="1"/>
  <c r="U41" i="1" s="1"/>
  <c r="R41" i="1"/>
  <c r="Q41" i="1"/>
  <c r="N41" i="1"/>
  <c r="M41" i="1"/>
  <c r="J41" i="1"/>
  <c r="I41" i="1"/>
  <c r="F41" i="1"/>
  <c r="E41" i="1" s="1"/>
  <c r="DR30" i="1"/>
  <c r="DQ30" i="1"/>
  <c r="DN30" i="1"/>
  <c r="DM30" i="1" s="1"/>
  <c r="DJ30" i="1"/>
  <c r="DG30" i="1"/>
  <c r="DF30" i="1" s="1"/>
  <c r="DC30" i="1"/>
  <c r="DB30" i="1"/>
  <c r="CY30" i="1"/>
  <c r="CV30" i="1"/>
  <c r="CQ30" i="1"/>
  <c r="CO30" i="1"/>
  <c r="CL30" i="1"/>
  <c r="CJ30" i="1"/>
  <c r="CG30" i="1"/>
  <c r="CF30" i="1"/>
  <c r="CB30" i="1"/>
  <c r="CA30" i="1"/>
  <c r="BX30" i="1"/>
  <c r="BW30" i="1" s="1"/>
  <c r="BR30" i="1"/>
  <c r="BQ30" i="1" s="1"/>
  <c r="BL30" i="1"/>
  <c r="BK30" i="1" s="1"/>
  <c r="BH30" i="1"/>
  <c r="BE30" i="1"/>
  <c r="BD30" i="1" s="1"/>
  <c r="AW30" i="1"/>
  <c r="AT30" i="1"/>
  <c r="AS30" i="1" s="1"/>
  <c r="AH30" i="1"/>
  <c r="AG30" i="1" s="1"/>
  <c r="AD30" i="1"/>
  <c r="AC30" i="1"/>
  <c r="V30" i="1"/>
  <c r="U30" i="1"/>
  <c r="R30" i="1"/>
  <c r="J30" i="1"/>
  <c r="F30" i="1"/>
  <c r="DR51" i="1"/>
  <c r="DQ51" i="1"/>
  <c r="DN51" i="1"/>
  <c r="DM51" i="1" s="1"/>
  <c r="DJ51" i="1"/>
  <c r="DG51" i="1"/>
  <c r="DF51" i="1" s="1"/>
  <c r="DC51" i="1"/>
  <c r="DB51" i="1"/>
  <c r="CY51" i="1"/>
  <c r="CV51" i="1"/>
  <c r="CQ51" i="1"/>
  <c r="CO51" i="1"/>
  <c r="CL51" i="1"/>
  <c r="CJ51" i="1"/>
  <c r="CG51" i="1"/>
  <c r="CF51" i="1"/>
  <c r="CB51" i="1"/>
  <c r="CA51" i="1"/>
  <c r="BX51" i="1"/>
  <c r="BW51" i="1" s="1"/>
  <c r="BR51" i="1"/>
  <c r="BQ51" i="1" s="1"/>
  <c r="BL51" i="1"/>
  <c r="BK51" i="1" s="1"/>
  <c r="BH51" i="1"/>
  <c r="BE51" i="1"/>
  <c r="BD51" i="1" s="1"/>
  <c r="AW51" i="1"/>
  <c r="AT51" i="1"/>
  <c r="AS51" i="1" s="1"/>
  <c r="AH51" i="1"/>
  <c r="AG51" i="1" s="1"/>
  <c r="AD51" i="1"/>
  <c r="AC51" i="1"/>
  <c r="V51" i="1"/>
  <c r="R51" i="1"/>
  <c r="N51" i="1"/>
  <c r="J51" i="1"/>
  <c r="F51" i="1"/>
  <c r="DR55" i="1"/>
  <c r="DQ55" i="1"/>
  <c r="DN55" i="1"/>
  <c r="DM55" i="1" s="1"/>
  <c r="DJ55" i="1"/>
  <c r="DG55" i="1"/>
  <c r="DF55" i="1" s="1"/>
  <c r="DC55" i="1"/>
  <c r="DB55" i="1"/>
  <c r="CY55" i="1"/>
  <c r="CV55" i="1"/>
  <c r="CQ55" i="1"/>
  <c r="CO55" i="1"/>
  <c r="CL55" i="1"/>
  <c r="CJ55" i="1"/>
  <c r="CG55" i="1"/>
  <c r="CF55" i="1"/>
  <c r="CB55" i="1"/>
  <c r="CA55" i="1"/>
  <c r="BX55" i="1"/>
  <c r="BW55" i="1" s="1"/>
  <c r="BR55" i="1"/>
  <c r="BQ55" i="1" s="1"/>
  <c r="BL55" i="1"/>
  <c r="BK55" i="1" s="1"/>
  <c r="BH55" i="1"/>
  <c r="BE55" i="1"/>
  <c r="BD55" i="1" s="1"/>
  <c r="AW55" i="1"/>
  <c r="AT55" i="1"/>
  <c r="AS55" i="1" s="1"/>
  <c r="AH55" i="1"/>
  <c r="AG55" i="1" s="1"/>
  <c r="AD55" i="1"/>
  <c r="AC55" i="1"/>
  <c r="V55" i="1"/>
  <c r="U55" i="1"/>
  <c r="R55" i="1"/>
  <c r="N55" i="1"/>
  <c r="J55" i="1"/>
  <c r="F55" i="1"/>
  <c r="DR14" i="1"/>
  <c r="DQ14" i="1"/>
  <c r="DN14" i="1"/>
  <c r="DM14" i="1" s="1"/>
  <c r="DJ14" i="1"/>
  <c r="DG14" i="1"/>
  <c r="DF14" i="1" s="1"/>
  <c r="DC14" i="1"/>
  <c r="DB14" i="1"/>
  <c r="CY14" i="1"/>
  <c r="CV14" i="1"/>
  <c r="CQ14" i="1"/>
  <c r="CO14" i="1"/>
  <c r="CL14" i="1"/>
  <c r="CJ14" i="1"/>
  <c r="CG14" i="1"/>
  <c r="CF14" i="1"/>
  <c r="CB14" i="1"/>
  <c r="CA14" i="1"/>
  <c r="BX14" i="1"/>
  <c r="BW14" i="1" s="1"/>
  <c r="BR14" i="1"/>
  <c r="BQ14" i="1" s="1"/>
  <c r="BL14" i="1"/>
  <c r="BK14" i="1" s="1"/>
  <c r="BH14" i="1"/>
  <c r="BE14" i="1"/>
  <c r="BD14" i="1" s="1"/>
  <c r="AW14" i="1"/>
  <c r="AT14" i="1"/>
  <c r="AS14" i="1" s="1"/>
  <c r="AH14" i="1"/>
  <c r="AG14" i="1" s="1"/>
  <c r="AD14" i="1"/>
  <c r="AC14" i="1"/>
  <c r="V14" i="1"/>
  <c r="U14" i="1"/>
  <c r="R14" i="1"/>
  <c r="Q14" i="1"/>
  <c r="N14" i="1"/>
  <c r="J14" i="1"/>
  <c r="I14" i="1"/>
  <c r="F14" i="1"/>
  <c r="E14" i="1" s="1"/>
  <c r="DR59" i="1"/>
  <c r="DQ59" i="1"/>
  <c r="DN59" i="1"/>
  <c r="DM59" i="1" s="1"/>
  <c r="DJ59" i="1"/>
  <c r="DG59" i="1"/>
  <c r="DF59" i="1" s="1"/>
  <c r="DC59" i="1"/>
  <c r="DB59" i="1"/>
  <c r="CY59" i="1"/>
  <c r="CV59" i="1"/>
  <c r="CQ59" i="1"/>
  <c r="CO59" i="1"/>
  <c r="CL59" i="1"/>
  <c r="CJ59" i="1"/>
  <c r="CG59" i="1"/>
  <c r="CF59" i="1"/>
  <c r="CB59" i="1"/>
  <c r="CA59" i="1"/>
  <c r="BX59" i="1"/>
  <c r="BW59" i="1" s="1"/>
  <c r="BR59" i="1"/>
  <c r="BQ59" i="1" s="1"/>
  <c r="BL59" i="1"/>
  <c r="BK59" i="1" s="1"/>
  <c r="BH59" i="1"/>
  <c r="BE59" i="1"/>
  <c r="BD59" i="1" s="1"/>
  <c r="AX59" i="1"/>
  <c r="AW59" i="1" s="1"/>
  <c r="AT59" i="1"/>
  <c r="AS59" i="1" s="1"/>
  <c r="AH59" i="1"/>
  <c r="AG59" i="1" s="1"/>
  <c r="AD59" i="1"/>
  <c r="AC59" i="1"/>
  <c r="V59" i="1"/>
  <c r="U59" i="1" s="1"/>
  <c r="R59" i="1"/>
  <c r="N59" i="1"/>
  <c r="J59" i="1"/>
  <c r="F59" i="1"/>
  <c r="DR57" i="1"/>
  <c r="DQ57" i="1"/>
  <c r="DN57" i="1"/>
  <c r="DM57" i="1" s="1"/>
  <c r="DJ57" i="1"/>
  <c r="DG57" i="1"/>
  <c r="DF57" i="1" s="1"/>
  <c r="DC57" i="1"/>
  <c r="DB57" i="1"/>
  <c r="CY57" i="1"/>
  <c r="CV57" i="1"/>
  <c r="CQ57" i="1"/>
  <c r="CO57" i="1"/>
  <c r="CL57" i="1"/>
  <c r="CJ57" i="1"/>
  <c r="CG57" i="1"/>
  <c r="CF57" i="1"/>
  <c r="CB57" i="1"/>
  <c r="CA57" i="1"/>
  <c r="BX57" i="1"/>
  <c r="BW57" i="1" s="1"/>
  <c r="BR57" i="1"/>
  <c r="BQ57" i="1" s="1"/>
  <c r="BL57" i="1"/>
  <c r="BK57" i="1" s="1"/>
  <c r="BH57" i="1"/>
  <c r="BE57" i="1"/>
  <c r="BD57" i="1" s="1"/>
  <c r="AT57" i="1"/>
  <c r="AS57" i="1" s="1"/>
  <c r="AH57" i="1"/>
  <c r="AG57" i="1" s="1"/>
  <c r="AD57" i="1"/>
  <c r="AC57" i="1"/>
  <c r="V57" i="1"/>
  <c r="U57" i="1"/>
  <c r="R57" i="1"/>
  <c r="N57" i="1"/>
  <c r="J57" i="1"/>
  <c r="F57" i="1"/>
  <c r="DR18" i="1"/>
  <c r="DQ18" i="1"/>
  <c r="DN18" i="1"/>
  <c r="DM18" i="1" s="1"/>
  <c r="DJ18" i="1"/>
  <c r="DG18" i="1"/>
  <c r="DF18" i="1" s="1"/>
  <c r="DC18" i="1"/>
  <c r="DB18" i="1"/>
  <c r="CY18" i="1"/>
  <c r="CV18" i="1"/>
  <c r="CQ18" i="1"/>
  <c r="CO18" i="1"/>
  <c r="CL18" i="1"/>
  <c r="CJ18" i="1"/>
  <c r="CG18" i="1"/>
  <c r="CF18" i="1"/>
  <c r="CB18" i="1"/>
  <c r="CA18" i="1"/>
  <c r="BX18" i="1"/>
  <c r="BW18" i="1" s="1"/>
  <c r="BR18" i="1"/>
  <c r="BQ18" i="1" s="1"/>
  <c r="BL18" i="1"/>
  <c r="BK18" i="1" s="1"/>
  <c r="BH18" i="1"/>
  <c r="BE18" i="1"/>
  <c r="BD18" i="1" s="1"/>
  <c r="AW18" i="1"/>
  <c r="AT18" i="1"/>
  <c r="AS18" i="1" s="1"/>
  <c r="AH18" i="1"/>
  <c r="AG18" i="1" s="1"/>
  <c r="AD18" i="1"/>
  <c r="AC18" i="1"/>
  <c r="V18" i="1"/>
  <c r="U18" i="1"/>
  <c r="R18" i="1"/>
  <c r="Q18" i="1"/>
  <c r="N18" i="1"/>
  <c r="J18" i="1"/>
  <c r="I18" i="1"/>
  <c r="F18" i="1"/>
  <c r="E18" i="1" s="1"/>
  <c r="DR36" i="1"/>
  <c r="DQ36" i="1"/>
  <c r="DN36" i="1"/>
  <c r="DM36" i="1" s="1"/>
  <c r="DJ36" i="1"/>
  <c r="DG36" i="1"/>
  <c r="DF36" i="1" s="1"/>
  <c r="DC36" i="1"/>
  <c r="DB36" i="1"/>
  <c r="CY36" i="1"/>
  <c r="CV36" i="1"/>
  <c r="CQ36" i="1"/>
  <c r="CO36" i="1"/>
  <c r="CL36" i="1"/>
  <c r="CJ36" i="1"/>
  <c r="CG36" i="1"/>
  <c r="CF36" i="1"/>
  <c r="CB36" i="1"/>
  <c r="CA36" i="1"/>
  <c r="BX36" i="1"/>
  <c r="BW36" i="1" s="1"/>
  <c r="BR36" i="1"/>
  <c r="BQ36" i="1" s="1"/>
  <c r="BL36" i="1"/>
  <c r="BK36" i="1" s="1"/>
  <c r="BH36" i="1"/>
  <c r="BE36" i="1"/>
  <c r="BD36" i="1" s="1"/>
  <c r="AX36" i="1"/>
  <c r="AW36" i="1" s="1"/>
  <c r="AT36" i="1"/>
  <c r="AS36" i="1" s="1"/>
  <c r="AH36" i="1"/>
  <c r="AG36" i="1" s="1"/>
  <c r="AD36" i="1"/>
  <c r="AC36" i="1"/>
  <c r="V36" i="1"/>
  <c r="U36" i="1" s="1"/>
  <c r="R36" i="1"/>
  <c r="Q36" i="1"/>
  <c r="N36" i="1"/>
  <c r="J36" i="1"/>
  <c r="I36" i="1"/>
  <c r="F36" i="1"/>
  <c r="E36" i="1" s="1"/>
  <c r="DR45" i="1"/>
  <c r="DQ45" i="1"/>
  <c r="DN45" i="1"/>
  <c r="DM45" i="1" s="1"/>
  <c r="DJ45" i="1"/>
  <c r="DG45" i="1"/>
  <c r="DF45" i="1" s="1"/>
  <c r="DC45" i="1"/>
  <c r="DB45" i="1"/>
  <c r="CY45" i="1"/>
  <c r="CV45" i="1"/>
  <c r="CQ45" i="1"/>
  <c r="CO45" i="1"/>
  <c r="CL45" i="1"/>
  <c r="CJ45" i="1"/>
  <c r="CG45" i="1"/>
  <c r="CF45" i="1"/>
  <c r="CB45" i="1"/>
  <c r="CA45" i="1"/>
  <c r="BX45" i="1"/>
  <c r="BW45" i="1" s="1"/>
  <c r="BR45" i="1"/>
  <c r="BQ45" i="1" s="1"/>
  <c r="BL45" i="1"/>
  <c r="BK45" i="1" s="1"/>
  <c r="BH45" i="1"/>
  <c r="BE45" i="1"/>
  <c r="BD45" i="1" s="1"/>
  <c r="AX45" i="1"/>
  <c r="AW45" i="1" s="1"/>
  <c r="AT45" i="1"/>
  <c r="AS45" i="1" s="1"/>
  <c r="AH45" i="1"/>
  <c r="AG45" i="1" s="1"/>
  <c r="AD45" i="1"/>
  <c r="AC45" i="1"/>
  <c r="V45" i="1"/>
  <c r="U45" i="1" s="1"/>
  <c r="R45" i="1"/>
  <c r="Q45" i="1"/>
  <c r="N45" i="1"/>
  <c r="M45" i="1"/>
  <c r="J45" i="1"/>
  <c r="I45" i="1"/>
  <c r="F45" i="1"/>
  <c r="E45" i="1" s="1"/>
  <c r="DR9" i="1"/>
  <c r="DQ9" i="1"/>
  <c r="DN9" i="1"/>
  <c r="DM9" i="1" s="1"/>
  <c r="DJ9" i="1"/>
  <c r="DG9" i="1"/>
  <c r="DF9" i="1" s="1"/>
  <c r="DC9" i="1"/>
  <c r="DB9" i="1"/>
  <c r="CY9" i="1"/>
  <c r="CV9" i="1"/>
  <c r="CQ9" i="1"/>
  <c r="CO9" i="1"/>
  <c r="CL9" i="1"/>
  <c r="CJ9" i="1"/>
  <c r="CG9" i="1"/>
  <c r="CF9" i="1"/>
  <c r="CB9" i="1"/>
  <c r="CA9" i="1"/>
  <c r="BX9" i="1"/>
  <c r="BW9" i="1" s="1"/>
  <c r="BR9" i="1"/>
  <c r="BQ9" i="1" s="1"/>
  <c r="BL9" i="1"/>
  <c r="BK9" i="1" s="1"/>
  <c r="BH9" i="1"/>
  <c r="BE9" i="1"/>
  <c r="BD9" i="1" s="1"/>
  <c r="AW9" i="1"/>
  <c r="AT9" i="1"/>
  <c r="AS9" i="1" s="1"/>
  <c r="AH9" i="1"/>
  <c r="AG9" i="1" s="1"/>
  <c r="AD9" i="1"/>
  <c r="AC9" i="1"/>
  <c r="V9" i="1"/>
  <c r="U9" i="1"/>
  <c r="R9" i="1"/>
  <c r="Q9" i="1"/>
  <c r="N9" i="1"/>
  <c r="M9" i="1"/>
  <c r="J9" i="1"/>
  <c r="I9" i="1"/>
  <c r="F9" i="1"/>
  <c r="E9" i="1" s="1"/>
  <c r="DR63" i="1"/>
  <c r="DQ63" i="1"/>
  <c r="DN63" i="1"/>
  <c r="DM63" i="1" s="1"/>
  <c r="DJ63" i="1"/>
  <c r="DG63" i="1"/>
  <c r="DF63" i="1" s="1"/>
  <c r="DC63" i="1"/>
  <c r="DB63" i="1"/>
  <c r="CY63" i="1"/>
  <c r="CV63" i="1"/>
  <c r="CQ63" i="1"/>
  <c r="CO63" i="1"/>
  <c r="CL63" i="1"/>
  <c r="CJ63" i="1"/>
  <c r="CG63" i="1"/>
  <c r="CF63" i="1"/>
  <c r="CB63" i="1"/>
  <c r="CA63" i="1"/>
  <c r="BX63" i="1"/>
  <c r="BW63" i="1" s="1"/>
  <c r="BR63" i="1"/>
  <c r="BQ63" i="1" s="1"/>
  <c r="BL63" i="1"/>
  <c r="BK63" i="1" s="1"/>
  <c r="BH63" i="1"/>
  <c r="BE63" i="1"/>
  <c r="BD63" i="1" s="1"/>
  <c r="AW63" i="1"/>
  <c r="AT63" i="1"/>
  <c r="AS63" i="1" s="1"/>
  <c r="AH63" i="1"/>
  <c r="AG63" i="1" s="1"/>
  <c r="AD63" i="1"/>
  <c r="AC63" i="1"/>
  <c r="V63" i="1"/>
  <c r="U63" i="1"/>
  <c r="R63" i="1"/>
  <c r="N63" i="1"/>
  <c r="J63" i="1"/>
  <c r="F63" i="1"/>
  <c r="DR47" i="1"/>
  <c r="DQ47" i="1"/>
  <c r="DN47" i="1"/>
  <c r="DM47" i="1" s="1"/>
  <c r="DJ47" i="1"/>
  <c r="DG47" i="1"/>
  <c r="DF47" i="1" s="1"/>
  <c r="DC47" i="1"/>
  <c r="DB47" i="1"/>
  <c r="CY47" i="1"/>
  <c r="CV47" i="1"/>
  <c r="CQ47" i="1"/>
  <c r="CO47" i="1"/>
  <c r="CL47" i="1"/>
  <c r="CJ47" i="1"/>
  <c r="CG47" i="1"/>
  <c r="CF47" i="1"/>
  <c r="CB47" i="1"/>
  <c r="CA47" i="1"/>
  <c r="BX47" i="1"/>
  <c r="BW47" i="1" s="1"/>
  <c r="BR47" i="1"/>
  <c r="BQ47" i="1" s="1"/>
  <c r="BL47" i="1"/>
  <c r="BK47" i="1" s="1"/>
  <c r="BH47" i="1"/>
  <c r="BE47" i="1"/>
  <c r="BD47" i="1" s="1"/>
  <c r="AW47" i="1"/>
  <c r="AT47" i="1"/>
  <c r="AS47" i="1" s="1"/>
  <c r="AH47" i="1"/>
  <c r="AG47" i="1" s="1"/>
  <c r="AD47" i="1"/>
  <c r="AC47" i="1"/>
  <c r="V47" i="1"/>
  <c r="U47" i="1"/>
  <c r="R47" i="1"/>
  <c r="N47" i="1"/>
  <c r="J47" i="1"/>
  <c r="F47" i="1"/>
  <c r="DR62" i="1"/>
  <c r="DQ62" i="1"/>
  <c r="DN62" i="1"/>
  <c r="DM62" i="1" s="1"/>
  <c r="DJ62" i="1"/>
  <c r="DG62" i="1"/>
  <c r="DF62" i="1" s="1"/>
  <c r="DC62" i="1"/>
  <c r="DB62" i="1"/>
  <c r="CY62" i="1"/>
  <c r="CV62" i="1"/>
  <c r="CQ62" i="1"/>
  <c r="CO62" i="1"/>
  <c r="CL62" i="1"/>
  <c r="CJ62" i="1"/>
  <c r="CG62" i="1"/>
  <c r="CF62" i="1"/>
  <c r="CB62" i="1"/>
  <c r="CA62" i="1"/>
  <c r="BX62" i="1"/>
  <c r="BW62" i="1" s="1"/>
  <c r="BR62" i="1"/>
  <c r="BQ62" i="1" s="1"/>
  <c r="BL62" i="1"/>
  <c r="BK62" i="1" s="1"/>
  <c r="BH62" i="1"/>
  <c r="BE62" i="1"/>
  <c r="BD62" i="1" s="1"/>
  <c r="AW62" i="1"/>
  <c r="AT62" i="1"/>
  <c r="AS62" i="1" s="1"/>
  <c r="AH62" i="1"/>
  <c r="AG62" i="1" s="1"/>
  <c r="AD62" i="1"/>
  <c r="AC62" i="1"/>
  <c r="V62" i="1"/>
  <c r="U62" i="1" s="1"/>
  <c r="R62" i="1"/>
  <c r="N62" i="1"/>
  <c r="J62" i="1"/>
  <c r="F62" i="1"/>
  <c r="DR37" i="1"/>
  <c r="DQ37" i="1"/>
  <c r="DN37" i="1"/>
  <c r="DM37" i="1" s="1"/>
  <c r="DJ37" i="1"/>
  <c r="DG37" i="1"/>
  <c r="DF37" i="1" s="1"/>
  <c r="DC37" i="1"/>
  <c r="DB37" i="1"/>
  <c r="CY37" i="1"/>
  <c r="CV37" i="1"/>
  <c r="CQ37" i="1"/>
  <c r="CO37" i="1"/>
  <c r="CL37" i="1"/>
  <c r="CJ37" i="1"/>
  <c r="CG37" i="1"/>
  <c r="CF37" i="1"/>
  <c r="CB37" i="1"/>
  <c r="CA37" i="1"/>
  <c r="BX37" i="1"/>
  <c r="BW37" i="1" s="1"/>
  <c r="BR37" i="1"/>
  <c r="BQ37" i="1" s="1"/>
  <c r="BL37" i="1"/>
  <c r="BK37" i="1" s="1"/>
  <c r="BH37" i="1"/>
  <c r="BE37" i="1"/>
  <c r="BD37" i="1" s="1"/>
  <c r="AX37" i="1"/>
  <c r="AW37" i="1" s="1"/>
  <c r="AT37" i="1"/>
  <c r="AS37" i="1" s="1"/>
  <c r="AH37" i="1"/>
  <c r="AG37" i="1" s="1"/>
  <c r="AD37" i="1"/>
  <c r="AC37" i="1"/>
  <c r="V37" i="1"/>
  <c r="U37" i="1" s="1"/>
  <c r="R37" i="1"/>
  <c r="Q37" i="1"/>
  <c r="N37" i="1"/>
  <c r="M37" i="1"/>
  <c r="J37" i="1"/>
  <c r="I37" i="1"/>
  <c r="F37" i="1"/>
  <c r="E37" i="1" s="1"/>
  <c r="DR42" i="1"/>
  <c r="DQ42" i="1"/>
  <c r="DN42" i="1"/>
  <c r="DM42" i="1" s="1"/>
  <c r="DJ42" i="1"/>
  <c r="DG42" i="1"/>
  <c r="DF42" i="1" s="1"/>
  <c r="DC42" i="1"/>
  <c r="DB42" i="1"/>
  <c r="CY42" i="1"/>
  <c r="CV42" i="1"/>
  <c r="CQ42" i="1"/>
  <c r="CO42" i="1"/>
  <c r="CL42" i="1"/>
  <c r="CJ42" i="1"/>
  <c r="CG42" i="1"/>
  <c r="CF42" i="1"/>
  <c r="CB42" i="1"/>
  <c r="CA42" i="1"/>
  <c r="BX42" i="1"/>
  <c r="BW42" i="1" s="1"/>
  <c r="BR42" i="1"/>
  <c r="BQ42" i="1" s="1"/>
  <c r="BL42" i="1"/>
  <c r="BK42" i="1" s="1"/>
  <c r="BH42" i="1"/>
  <c r="BE42" i="1"/>
  <c r="BD42" i="1" s="1"/>
  <c r="AX42" i="1"/>
  <c r="AW42" i="1" s="1"/>
  <c r="AT42" i="1"/>
  <c r="AS42" i="1" s="1"/>
  <c r="AH42" i="1"/>
  <c r="AG42" i="1" s="1"/>
  <c r="AD42" i="1"/>
  <c r="AC42" i="1"/>
  <c r="V42" i="1"/>
  <c r="U42" i="1"/>
  <c r="R42" i="1"/>
  <c r="Q42" i="1"/>
  <c r="N42" i="1"/>
  <c r="M42" i="1"/>
  <c r="J42" i="1"/>
  <c r="I42" i="1"/>
  <c r="F42" i="1"/>
  <c r="E42" i="1" s="1"/>
  <c r="DR48" i="1"/>
  <c r="DQ48" i="1"/>
  <c r="DN48" i="1"/>
  <c r="DM48" i="1" s="1"/>
  <c r="DJ48" i="1"/>
  <c r="DG48" i="1"/>
  <c r="DF48" i="1" s="1"/>
  <c r="DC48" i="1"/>
  <c r="DB48" i="1"/>
  <c r="CY48" i="1"/>
  <c r="CV48" i="1"/>
  <c r="CQ48" i="1"/>
  <c r="CO48" i="1"/>
  <c r="CL48" i="1"/>
  <c r="CJ48" i="1"/>
  <c r="CG48" i="1"/>
  <c r="CF48" i="1"/>
  <c r="CB48" i="1"/>
  <c r="CA48" i="1"/>
  <c r="BX48" i="1"/>
  <c r="BW48" i="1" s="1"/>
  <c r="BR48" i="1"/>
  <c r="BQ48" i="1" s="1"/>
  <c r="BL48" i="1"/>
  <c r="BK48" i="1" s="1"/>
  <c r="BH48" i="1"/>
  <c r="BE48" i="1"/>
  <c r="BD48" i="1" s="1"/>
  <c r="AW48" i="1"/>
  <c r="AT48" i="1"/>
  <c r="AS48" i="1" s="1"/>
  <c r="AH48" i="1"/>
  <c r="AG48" i="1" s="1"/>
  <c r="AD48" i="1"/>
  <c r="AC48" i="1"/>
  <c r="V48" i="1"/>
  <c r="U48" i="1"/>
  <c r="R48" i="1"/>
  <c r="N48" i="1"/>
  <c r="J48" i="1"/>
  <c r="F48" i="1"/>
  <c r="DR10" i="1"/>
  <c r="DQ10" i="1"/>
  <c r="DN10" i="1"/>
  <c r="DM10" i="1" s="1"/>
  <c r="DJ10" i="1"/>
  <c r="DG10" i="1"/>
  <c r="DF10" i="1" s="1"/>
  <c r="DC10" i="1"/>
  <c r="DB10" i="1"/>
  <c r="CY10" i="1"/>
  <c r="CV10" i="1"/>
  <c r="CQ10" i="1"/>
  <c r="CO10" i="1"/>
  <c r="CL10" i="1"/>
  <c r="CJ10" i="1"/>
  <c r="CG10" i="1"/>
  <c r="CF10" i="1"/>
  <c r="CB10" i="1"/>
  <c r="CA10" i="1"/>
  <c r="BX10" i="1"/>
  <c r="BR10" i="1"/>
  <c r="BQ10" i="1" s="1"/>
  <c r="BL10" i="1"/>
  <c r="BK10" i="1" s="1"/>
  <c r="BH10" i="1"/>
  <c r="BE10" i="1"/>
  <c r="BD10" i="1" s="1"/>
  <c r="AX10" i="1"/>
  <c r="AW10" i="1" s="1"/>
  <c r="AT10" i="1"/>
  <c r="AS10" i="1" s="1"/>
  <c r="AK10" i="1"/>
  <c r="AH10" i="1"/>
  <c r="AG10" i="1" s="1"/>
  <c r="AD10" i="1"/>
  <c r="AC10" i="1"/>
  <c r="V10" i="1"/>
  <c r="U10" i="1"/>
  <c r="R10" i="1"/>
  <c r="Q10" i="1"/>
  <c r="N10" i="1"/>
  <c r="M10" i="1"/>
  <c r="J10" i="1"/>
  <c r="I10" i="1"/>
  <c r="F10" i="1"/>
  <c r="E10" i="1" s="1"/>
  <c r="DR54" i="1"/>
  <c r="DQ54" i="1"/>
  <c r="DN54" i="1"/>
  <c r="DM54" i="1" s="1"/>
  <c r="DJ54" i="1"/>
  <c r="DG54" i="1"/>
  <c r="DF54" i="1" s="1"/>
  <c r="DC54" i="1"/>
  <c r="DB54" i="1"/>
  <c r="CY54" i="1"/>
  <c r="CV54" i="1"/>
  <c r="CQ54" i="1"/>
  <c r="CO54" i="1"/>
  <c r="CL54" i="1"/>
  <c r="CJ54" i="1"/>
  <c r="CG54" i="1"/>
  <c r="CF54" i="1"/>
  <c r="CB54" i="1"/>
  <c r="CA54" i="1"/>
  <c r="BX54" i="1"/>
  <c r="BW54" i="1" s="1"/>
  <c r="BR54" i="1"/>
  <c r="BQ54" i="1" s="1"/>
  <c r="BL54" i="1"/>
  <c r="BK54" i="1" s="1"/>
  <c r="BH54" i="1"/>
  <c r="BE54" i="1"/>
  <c r="BD54" i="1" s="1"/>
  <c r="AW54" i="1"/>
  <c r="AT54" i="1"/>
  <c r="AS54" i="1" s="1"/>
  <c r="AH54" i="1"/>
  <c r="AG54" i="1" s="1"/>
  <c r="AD54" i="1"/>
  <c r="AC54" i="1"/>
  <c r="V54" i="1"/>
  <c r="U54" i="1"/>
  <c r="R54" i="1"/>
  <c r="N54" i="1"/>
  <c r="J54" i="1"/>
  <c r="F54" i="1"/>
  <c r="DR46" i="1"/>
  <c r="DQ46" i="1"/>
  <c r="DN46" i="1"/>
  <c r="DM46" i="1" s="1"/>
  <c r="DJ46" i="1"/>
  <c r="DG46" i="1"/>
  <c r="DF46" i="1" s="1"/>
  <c r="DC46" i="1"/>
  <c r="DB46" i="1"/>
  <c r="CY46" i="1"/>
  <c r="CV46" i="1"/>
  <c r="CQ46" i="1"/>
  <c r="CO46" i="1"/>
  <c r="CL46" i="1"/>
  <c r="CJ46" i="1"/>
  <c r="CG46" i="1"/>
  <c r="CF46" i="1"/>
  <c r="CB46" i="1"/>
  <c r="CA46" i="1"/>
  <c r="BX46" i="1"/>
  <c r="BW46" i="1" s="1"/>
  <c r="BR46" i="1"/>
  <c r="BQ46" i="1" s="1"/>
  <c r="BL46" i="1"/>
  <c r="BK46" i="1" s="1"/>
  <c r="BH46" i="1"/>
  <c r="BE46" i="1"/>
  <c r="BD46" i="1" s="1"/>
  <c r="AW46" i="1"/>
  <c r="AT46" i="1"/>
  <c r="AS46" i="1" s="1"/>
  <c r="AH46" i="1"/>
  <c r="AG46" i="1" s="1"/>
  <c r="AD46" i="1"/>
  <c r="AC46" i="1"/>
  <c r="V46" i="1"/>
  <c r="U46" i="1" s="1"/>
  <c r="R46" i="1"/>
  <c r="N46" i="1"/>
  <c r="M46" i="1"/>
  <c r="J46" i="1"/>
  <c r="F46" i="1"/>
  <c r="E46" i="1" s="1"/>
  <c r="DR61" i="1"/>
  <c r="DQ61" i="1"/>
  <c r="DN61" i="1"/>
  <c r="DM61" i="1" s="1"/>
  <c r="DJ61" i="1"/>
  <c r="DG61" i="1"/>
  <c r="DF61" i="1" s="1"/>
  <c r="DC61" i="1"/>
  <c r="DB61" i="1"/>
  <c r="CY61" i="1"/>
  <c r="CV61" i="1"/>
  <c r="CQ61" i="1"/>
  <c r="CO61" i="1"/>
  <c r="CL61" i="1"/>
  <c r="CJ61" i="1"/>
  <c r="CG61" i="1"/>
  <c r="CF61" i="1"/>
  <c r="CB61" i="1"/>
  <c r="CA61" i="1"/>
  <c r="BX61" i="1"/>
  <c r="BW61" i="1" s="1"/>
  <c r="BR61" i="1"/>
  <c r="BQ61" i="1" s="1"/>
  <c r="BL61" i="1"/>
  <c r="BK61" i="1" s="1"/>
  <c r="BH61" i="1"/>
  <c r="BE61" i="1"/>
  <c r="BD61" i="1" s="1"/>
  <c r="AW61" i="1"/>
  <c r="AT61" i="1"/>
  <c r="AS61" i="1" s="1"/>
  <c r="AK61" i="1"/>
  <c r="AH61" i="1"/>
  <c r="AG61" i="1" s="1"/>
  <c r="AD61" i="1"/>
  <c r="AC61" i="1"/>
  <c r="V61" i="1"/>
  <c r="U61" i="1"/>
  <c r="R61" i="1"/>
  <c r="N61" i="1"/>
  <c r="J61" i="1"/>
  <c r="F61" i="1"/>
  <c r="DR60" i="1"/>
  <c r="DQ60" i="1"/>
  <c r="DN60" i="1"/>
  <c r="DM60" i="1" s="1"/>
  <c r="DJ60" i="1"/>
  <c r="DG60" i="1"/>
  <c r="DF60" i="1" s="1"/>
  <c r="DC60" i="1"/>
  <c r="DB60" i="1"/>
  <c r="CY60" i="1"/>
  <c r="CV60" i="1"/>
  <c r="CQ60" i="1"/>
  <c r="CO60" i="1"/>
  <c r="CL60" i="1"/>
  <c r="CJ60" i="1"/>
  <c r="CG60" i="1"/>
  <c r="CF60" i="1"/>
  <c r="CB60" i="1"/>
  <c r="CA60" i="1"/>
  <c r="BX60" i="1"/>
  <c r="BW60" i="1" s="1"/>
  <c r="BR60" i="1"/>
  <c r="BQ60" i="1" s="1"/>
  <c r="BL60" i="1"/>
  <c r="BK60" i="1" s="1"/>
  <c r="BH60" i="1"/>
  <c r="BE60" i="1"/>
  <c r="BD60" i="1" s="1"/>
  <c r="AX60" i="1"/>
  <c r="AW60" i="1" s="1"/>
  <c r="AT60" i="1"/>
  <c r="AS60" i="1" s="1"/>
  <c r="AK60" i="1"/>
  <c r="AH60" i="1"/>
  <c r="AG60" i="1" s="1"/>
  <c r="AD60" i="1"/>
  <c r="AC60" i="1"/>
  <c r="V60" i="1"/>
  <c r="U60" i="1"/>
  <c r="R60" i="1"/>
  <c r="Q60" i="1"/>
  <c r="N60" i="1"/>
  <c r="J60" i="1"/>
  <c r="I60" i="1"/>
  <c r="F60" i="1"/>
  <c r="E60" i="1" s="1"/>
  <c r="DR17" i="1"/>
  <c r="DQ17" i="1"/>
  <c r="DN17" i="1"/>
  <c r="DM17" i="1" s="1"/>
  <c r="DJ17" i="1"/>
  <c r="DG17" i="1"/>
  <c r="DF17" i="1" s="1"/>
  <c r="DC17" i="1"/>
  <c r="DB17" i="1"/>
  <c r="CY17" i="1"/>
  <c r="CV17" i="1"/>
  <c r="CQ17" i="1"/>
  <c r="CO17" i="1"/>
  <c r="CL17" i="1"/>
  <c r="CJ17" i="1"/>
  <c r="CG17" i="1"/>
  <c r="CF17" i="1"/>
  <c r="CB17" i="1"/>
  <c r="CA17" i="1"/>
  <c r="BX17" i="1"/>
  <c r="BW17" i="1" s="1"/>
  <c r="BR17" i="1"/>
  <c r="BQ17" i="1" s="1"/>
  <c r="BL17" i="1"/>
  <c r="BK17" i="1" s="1"/>
  <c r="BH17" i="1"/>
  <c r="BE17" i="1"/>
  <c r="BD17" i="1" s="1"/>
  <c r="AX17" i="1"/>
  <c r="AW17" i="1" s="1"/>
  <c r="AT17" i="1"/>
  <c r="AS17" i="1" s="1"/>
  <c r="AH17" i="1"/>
  <c r="AG17" i="1" s="1"/>
  <c r="AD17" i="1"/>
  <c r="AC17" i="1"/>
  <c r="V17" i="1"/>
  <c r="U17" i="1"/>
  <c r="R17" i="1"/>
  <c r="Q17" i="1"/>
  <c r="N17" i="1"/>
  <c r="J17" i="1"/>
  <c r="I17" i="1"/>
  <c r="F17" i="1"/>
  <c r="E17" i="1" s="1"/>
  <c r="DR64" i="1"/>
  <c r="DQ64" i="1"/>
  <c r="DN64" i="1"/>
  <c r="DM64" i="1" s="1"/>
  <c r="DJ64" i="1"/>
  <c r="DG64" i="1"/>
  <c r="DF64" i="1" s="1"/>
  <c r="DC64" i="1"/>
  <c r="DB64" i="1"/>
  <c r="CY64" i="1"/>
  <c r="CV64" i="1"/>
  <c r="CQ64" i="1"/>
  <c r="CO64" i="1"/>
  <c r="CL64" i="1"/>
  <c r="CJ64" i="1"/>
  <c r="CG64" i="1"/>
  <c r="CF64" i="1"/>
  <c r="CB64" i="1"/>
  <c r="CA64" i="1"/>
  <c r="BX64" i="1"/>
  <c r="BW64" i="1" s="1"/>
  <c r="BR64" i="1"/>
  <c r="BQ64" i="1" s="1"/>
  <c r="BL64" i="1"/>
  <c r="BK64" i="1" s="1"/>
  <c r="BH64" i="1"/>
  <c r="BE64" i="1"/>
  <c r="BD64" i="1" s="1"/>
  <c r="AX64" i="1"/>
  <c r="AW64" i="1" s="1"/>
  <c r="AT64" i="1"/>
  <c r="AS64" i="1" s="1"/>
  <c r="AH64" i="1"/>
  <c r="AG64" i="1" s="1"/>
  <c r="AD64" i="1"/>
  <c r="AC64" i="1"/>
  <c r="V64" i="1"/>
  <c r="U64" i="1"/>
  <c r="R64" i="1"/>
  <c r="Q64" i="1"/>
  <c r="N64" i="1"/>
  <c r="J64" i="1"/>
  <c r="I64" i="1"/>
  <c r="F64" i="1"/>
  <c r="E64" i="1" s="1"/>
  <c r="DR19" i="1"/>
  <c r="DQ19" i="1"/>
  <c r="DN19" i="1"/>
  <c r="DM19" i="1" s="1"/>
  <c r="DJ19" i="1"/>
  <c r="DG19" i="1"/>
  <c r="DF19" i="1" s="1"/>
  <c r="DC19" i="1"/>
  <c r="DB19" i="1"/>
  <c r="CY19" i="1"/>
  <c r="CV19" i="1"/>
  <c r="CQ19" i="1"/>
  <c r="CO19" i="1"/>
  <c r="CL19" i="1"/>
  <c r="CJ19" i="1"/>
  <c r="CG19" i="1"/>
  <c r="CF19" i="1"/>
  <c r="CB19" i="1"/>
  <c r="CA19" i="1"/>
  <c r="BX19" i="1"/>
  <c r="BW19" i="1" s="1"/>
  <c r="BR19" i="1"/>
  <c r="BQ19" i="1" s="1"/>
  <c r="BL19" i="1"/>
  <c r="BK19" i="1" s="1"/>
  <c r="BH19" i="1"/>
  <c r="BE19" i="1"/>
  <c r="BD19" i="1" s="1"/>
  <c r="AX19" i="1"/>
  <c r="AW19" i="1" s="1"/>
  <c r="AT19" i="1"/>
  <c r="AS19" i="1" s="1"/>
  <c r="AH19" i="1"/>
  <c r="AG19" i="1" s="1"/>
  <c r="AD19" i="1"/>
  <c r="AC19" i="1"/>
  <c r="V19" i="1"/>
  <c r="U19" i="1" s="1"/>
  <c r="R19" i="1"/>
  <c r="Q19" i="1"/>
  <c r="N19" i="1"/>
  <c r="M19" i="1"/>
  <c r="J19" i="1"/>
  <c r="I19" i="1"/>
  <c r="F19" i="1"/>
  <c r="E19" i="1" s="1"/>
  <c r="DR58" i="1"/>
  <c r="DQ58" i="1"/>
  <c r="DN58" i="1"/>
  <c r="DM58" i="1" s="1"/>
  <c r="DJ58" i="1"/>
  <c r="DG58" i="1"/>
  <c r="DF58" i="1" s="1"/>
  <c r="DC58" i="1"/>
  <c r="DB58" i="1"/>
  <c r="CY58" i="1"/>
  <c r="CV58" i="1"/>
  <c r="CQ58" i="1"/>
  <c r="CO58" i="1"/>
  <c r="CL58" i="1"/>
  <c r="CJ58" i="1"/>
  <c r="CG58" i="1"/>
  <c r="CF58" i="1"/>
  <c r="CB58" i="1"/>
  <c r="CA58" i="1"/>
  <c r="BX58" i="1"/>
  <c r="BW58" i="1" s="1"/>
  <c r="BR58" i="1"/>
  <c r="BQ58" i="1" s="1"/>
  <c r="BL58" i="1"/>
  <c r="BK58" i="1" s="1"/>
  <c r="BH58" i="1"/>
  <c r="BE58" i="1"/>
  <c r="BD58" i="1" s="1"/>
  <c r="AW58" i="1"/>
  <c r="AT58" i="1"/>
  <c r="AS58" i="1" s="1"/>
  <c r="AH58" i="1"/>
  <c r="AG58" i="1" s="1"/>
  <c r="AD58" i="1"/>
  <c r="AC58" i="1"/>
  <c r="V58" i="1"/>
  <c r="U58" i="1"/>
  <c r="R58" i="1"/>
  <c r="N58" i="1"/>
  <c r="J58" i="1"/>
  <c r="F58" i="1"/>
  <c r="DR66" i="1"/>
  <c r="DQ66" i="1"/>
  <c r="DN66" i="1"/>
  <c r="DM66" i="1" s="1"/>
  <c r="DJ66" i="1"/>
  <c r="DG66" i="1"/>
  <c r="DF66" i="1" s="1"/>
  <c r="DC66" i="1"/>
  <c r="DB66" i="1"/>
  <c r="CY66" i="1"/>
  <c r="CV66" i="1"/>
  <c r="CQ66" i="1"/>
  <c r="CO66" i="1"/>
  <c r="CL66" i="1"/>
  <c r="CJ66" i="1"/>
  <c r="CG66" i="1"/>
  <c r="CF66" i="1"/>
  <c r="CB66" i="1"/>
  <c r="CA66" i="1"/>
  <c r="BX66" i="1"/>
  <c r="BW66" i="1" s="1"/>
  <c r="BR66" i="1"/>
  <c r="BQ66" i="1" s="1"/>
  <c r="BL66" i="1"/>
  <c r="BK66" i="1" s="1"/>
  <c r="BH66" i="1"/>
  <c r="BE66" i="1"/>
  <c r="BD66" i="1" s="1"/>
  <c r="AW66" i="1"/>
  <c r="AT66" i="1"/>
  <c r="AS66" i="1" s="1"/>
  <c r="AH66" i="1"/>
  <c r="AG66" i="1" s="1"/>
  <c r="AD66" i="1"/>
  <c r="AC66" i="1"/>
  <c r="V66" i="1"/>
  <c r="U66" i="1" s="1"/>
  <c r="R66" i="1"/>
  <c r="N66" i="1"/>
  <c r="J66" i="1"/>
  <c r="F66" i="1"/>
  <c r="DR11" i="1"/>
  <c r="DQ11" i="1"/>
  <c r="DN11" i="1"/>
  <c r="DM11" i="1" s="1"/>
  <c r="DJ11" i="1"/>
  <c r="DG11" i="1"/>
  <c r="DF11" i="1" s="1"/>
  <c r="DC11" i="1"/>
  <c r="DB11" i="1"/>
  <c r="CY11" i="1"/>
  <c r="CV11" i="1"/>
  <c r="CQ11" i="1"/>
  <c r="CO11" i="1"/>
  <c r="CL11" i="1"/>
  <c r="CJ11" i="1"/>
  <c r="CG11" i="1"/>
  <c r="CF11" i="1"/>
  <c r="CB11" i="1"/>
  <c r="CA11" i="1"/>
  <c r="BX11" i="1"/>
  <c r="BW11" i="1" s="1"/>
  <c r="BR11" i="1"/>
  <c r="BQ11" i="1" s="1"/>
  <c r="BL11" i="1"/>
  <c r="BK11" i="1" s="1"/>
  <c r="BH11" i="1"/>
  <c r="BE11" i="1"/>
  <c r="BD11" i="1" s="1"/>
  <c r="AX11" i="1"/>
  <c r="AW11" i="1" s="1"/>
  <c r="AT11" i="1"/>
  <c r="AS11" i="1" s="1"/>
  <c r="AH11" i="1"/>
  <c r="AG11" i="1" s="1"/>
  <c r="AD11" i="1"/>
  <c r="AC11" i="1"/>
  <c r="V11" i="1"/>
  <c r="U11" i="1"/>
  <c r="R11" i="1"/>
  <c r="Q11" i="1"/>
  <c r="N11" i="1"/>
  <c r="M11" i="1"/>
  <c r="J11" i="1"/>
  <c r="I11" i="1"/>
  <c r="F11" i="1"/>
  <c r="E11" i="1" s="1"/>
  <c r="DR15" i="1"/>
  <c r="DQ15" i="1"/>
  <c r="DN15" i="1"/>
  <c r="DM15" i="1" s="1"/>
  <c r="DJ15" i="1"/>
  <c r="DG15" i="1"/>
  <c r="DF15" i="1" s="1"/>
  <c r="DC15" i="1"/>
  <c r="DB15" i="1"/>
  <c r="CY15" i="1"/>
  <c r="CV15" i="1"/>
  <c r="CQ15" i="1"/>
  <c r="CO15" i="1"/>
  <c r="CL15" i="1"/>
  <c r="CJ15" i="1"/>
  <c r="CG15" i="1"/>
  <c r="CF15" i="1"/>
  <c r="CB15" i="1"/>
  <c r="CA15" i="1"/>
  <c r="BY15" i="1"/>
  <c r="BX15" i="1" s="1"/>
  <c r="BW15" i="1" s="1"/>
  <c r="BR15" i="1"/>
  <c r="BQ15" i="1" s="1"/>
  <c r="BL15" i="1"/>
  <c r="BK15" i="1" s="1"/>
  <c r="BH15" i="1"/>
  <c r="BE15" i="1"/>
  <c r="BD15" i="1" s="1"/>
  <c r="AX15" i="1"/>
  <c r="AW15" i="1" s="1"/>
  <c r="AT15" i="1"/>
  <c r="AS15" i="1" s="1"/>
  <c r="AH15" i="1"/>
  <c r="AG15" i="1" s="1"/>
  <c r="AD15" i="1"/>
  <c r="AC15" i="1"/>
  <c r="V15" i="1"/>
  <c r="U15" i="1" s="1"/>
  <c r="R15" i="1"/>
  <c r="Q15" i="1"/>
  <c r="N15" i="1"/>
  <c r="M15" i="1"/>
  <c r="J15" i="1"/>
  <c r="I15" i="1"/>
  <c r="F15" i="1"/>
  <c r="E15" i="1" s="1"/>
  <c r="DR56" i="1"/>
  <c r="DQ56" i="1"/>
  <c r="DN56" i="1"/>
  <c r="DM56" i="1" s="1"/>
  <c r="DJ56" i="1"/>
  <c r="DG56" i="1"/>
  <c r="DF56" i="1" s="1"/>
  <c r="DC56" i="1"/>
  <c r="DB56" i="1"/>
  <c r="CY56" i="1"/>
  <c r="CV56" i="1"/>
  <c r="CQ56" i="1"/>
  <c r="CO56" i="1"/>
  <c r="CL56" i="1"/>
  <c r="CJ56" i="1"/>
  <c r="CG56" i="1"/>
  <c r="CF56" i="1"/>
  <c r="CB56" i="1"/>
  <c r="CA56" i="1"/>
  <c r="BY56" i="1"/>
  <c r="BX56" i="1" s="1"/>
  <c r="BW56" i="1" s="1"/>
  <c r="BR56" i="1"/>
  <c r="BQ56" i="1" s="1"/>
  <c r="BL56" i="1"/>
  <c r="BK56" i="1" s="1"/>
  <c r="BH56" i="1"/>
  <c r="BE56" i="1"/>
  <c r="BD56" i="1" s="1"/>
  <c r="AX56" i="1"/>
  <c r="AW56" i="1" s="1"/>
  <c r="AT56" i="1"/>
  <c r="AS56" i="1" s="1"/>
  <c r="AH56" i="1"/>
  <c r="AG56" i="1" s="1"/>
  <c r="AD56" i="1"/>
  <c r="AC56" i="1"/>
  <c r="V56" i="1"/>
  <c r="U56" i="1"/>
  <c r="R56" i="1"/>
  <c r="Q56" i="1"/>
  <c r="N56" i="1"/>
  <c r="M56" i="1"/>
  <c r="J56" i="1"/>
  <c r="I56" i="1"/>
  <c r="F56" i="1"/>
  <c r="E56" i="1" s="1"/>
  <c r="DR22" i="1"/>
  <c r="DQ22" i="1"/>
  <c r="DN22" i="1"/>
  <c r="DM22" i="1" s="1"/>
  <c r="DJ22" i="1"/>
  <c r="DG22" i="1"/>
  <c r="DF22" i="1" s="1"/>
  <c r="DC22" i="1"/>
  <c r="DB22" i="1"/>
  <c r="CY22" i="1"/>
  <c r="CV22" i="1"/>
  <c r="CQ22" i="1"/>
  <c r="CO22" i="1"/>
  <c r="CL22" i="1"/>
  <c r="CJ22" i="1"/>
  <c r="CG22" i="1"/>
  <c r="CF22" i="1"/>
  <c r="CB22" i="1"/>
  <c r="CA22" i="1"/>
  <c r="BY22" i="1"/>
  <c r="BX22" i="1" s="1"/>
  <c r="BW22" i="1" s="1"/>
  <c r="BR22" i="1"/>
  <c r="BQ22" i="1" s="1"/>
  <c r="BL22" i="1"/>
  <c r="BK22" i="1" s="1"/>
  <c r="BH22" i="1"/>
  <c r="BE22" i="1"/>
  <c r="BD22" i="1" s="1"/>
  <c r="AX22" i="1"/>
  <c r="AW22" i="1" s="1"/>
  <c r="AT22" i="1"/>
  <c r="AS22" i="1" s="1"/>
  <c r="AH22" i="1"/>
  <c r="AG22" i="1" s="1"/>
  <c r="AD22" i="1"/>
  <c r="AC22" i="1"/>
  <c r="V22" i="1"/>
  <c r="U22" i="1" s="1"/>
  <c r="R22" i="1"/>
  <c r="Q22" i="1"/>
  <c r="N22" i="1"/>
  <c r="M22" i="1"/>
  <c r="J22" i="1"/>
  <c r="I22" i="1"/>
  <c r="F22" i="1"/>
  <c r="E22" i="1" s="1"/>
  <c r="DR53" i="1"/>
  <c r="DQ53" i="1"/>
  <c r="DN53" i="1"/>
  <c r="DM53" i="1" s="1"/>
  <c r="DJ53" i="1"/>
  <c r="DG53" i="1"/>
  <c r="DF53" i="1" s="1"/>
  <c r="DC53" i="1"/>
  <c r="DB53" i="1"/>
  <c r="CY53" i="1"/>
  <c r="CV53" i="1"/>
  <c r="CQ53" i="1"/>
  <c r="CO53" i="1"/>
  <c r="CL53" i="1"/>
  <c r="CJ53" i="1"/>
  <c r="CG53" i="1"/>
  <c r="CF53" i="1"/>
  <c r="CB53" i="1"/>
  <c r="CA53" i="1"/>
  <c r="BY53" i="1"/>
  <c r="BX53" i="1" s="1"/>
  <c r="BW53" i="1" s="1"/>
  <c r="BR53" i="1"/>
  <c r="BQ53" i="1" s="1"/>
  <c r="BL53" i="1"/>
  <c r="BK53" i="1" s="1"/>
  <c r="BH53" i="1"/>
  <c r="BE53" i="1"/>
  <c r="BD53" i="1" s="1"/>
  <c r="AX53" i="1"/>
  <c r="AW53" i="1" s="1"/>
  <c r="AT53" i="1"/>
  <c r="AS53" i="1" s="1"/>
  <c r="AH53" i="1"/>
  <c r="AG53" i="1" s="1"/>
  <c r="AD53" i="1"/>
  <c r="AC53" i="1"/>
  <c r="V53" i="1"/>
  <c r="U53" i="1" s="1"/>
  <c r="R53" i="1"/>
  <c r="Q53" i="1"/>
  <c r="N53" i="1"/>
  <c r="M53" i="1"/>
  <c r="J53" i="1"/>
  <c r="I53" i="1"/>
  <c r="F53" i="1"/>
  <c r="E53" i="1" s="1"/>
  <c r="DR32" i="1"/>
  <c r="DQ32" i="1"/>
  <c r="DN32" i="1"/>
  <c r="DM32" i="1" s="1"/>
  <c r="DG32" i="1"/>
  <c r="DF32" i="1" s="1"/>
  <c r="DC32" i="1"/>
  <c r="DB32" i="1"/>
  <c r="CY32" i="1"/>
  <c r="CV32" i="1"/>
  <c r="CQ32" i="1"/>
  <c r="CO32" i="1"/>
  <c r="CL32" i="1"/>
  <c r="CJ32" i="1"/>
  <c r="CG32" i="1"/>
  <c r="CF32" i="1"/>
  <c r="CB32" i="1"/>
  <c r="CA32" i="1"/>
  <c r="BX32" i="1"/>
  <c r="BW32" i="1" s="1"/>
  <c r="BR32" i="1"/>
  <c r="BQ32" i="1" s="1"/>
  <c r="BL32" i="1"/>
  <c r="BK32" i="1" s="1"/>
  <c r="BH32" i="1"/>
  <c r="BE32" i="1"/>
  <c r="BD32" i="1" s="1"/>
  <c r="AX32" i="1"/>
  <c r="AW32" i="1" s="1"/>
  <c r="AT32" i="1"/>
  <c r="AS32" i="1" s="1"/>
  <c r="AH32" i="1"/>
  <c r="AG32" i="1" s="1"/>
  <c r="AD32" i="1"/>
  <c r="AC32" i="1"/>
  <c r="V32" i="1"/>
  <c r="U32" i="1" s="1"/>
  <c r="R32" i="1"/>
  <c r="Q32" i="1"/>
  <c r="N32" i="1"/>
  <c r="M32" i="1"/>
  <c r="J32" i="1"/>
  <c r="I32" i="1"/>
  <c r="F32" i="1"/>
  <c r="E32" i="1" s="1"/>
  <c r="DR52" i="1"/>
  <c r="DQ52" i="1"/>
  <c r="DN52" i="1"/>
  <c r="DM52" i="1" s="1"/>
  <c r="DJ52" i="1"/>
  <c r="DG52" i="1"/>
  <c r="DF52" i="1" s="1"/>
  <c r="DC52" i="1"/>
  <c r="DB52" i="1"/>
  <c r="CY52" i="1"/>
  <c r="CV52" i="1"/>
  <c r="CQ52" i="1"/>
  <c r="CO52" i="1"/>
  <c r="CL52" i="1"/>
  <c r="CJ52" i="1"/>
  <c r="CG52" i="1"/>
  <c r="CF52" i="1"/>
  <c r="CB52" i="1"/>
  <c r="CA52" i="1"/>
  <c r="BY52" i="1"/>
  <c r="BX52" i="1" s="1"/>
  <c r="BW52" i="1" s="1"/>
  <c r="BR52" i="1"/>
  <c r="BQ52" i="1" s="1"/>
  <c r="BL52" i="1"/>
  <c r="BK52" i="1" s="1"/>
  <c r="BH52" i="1"/>
  <c r="BE52" i="1"/>
  <c r="BD52" i="1" s="1"/>
  <c r="AX52" i="1"/>
  <c r="AW52" i="1" s="1"/>
  <c r="AT52" i="1"/>
  <c r="AS52" i="1" s="1"/>
  <c r="AH52" i="1"/>
  <c r="AG52" i="1" s="1"/>
  <c r="AD52" i="1"/>
  <c r="AC52" i="1"/>
  <c r="V52" i="1"/>
  <c r="U52" i="1" s="1"/>
  <c r="R52" i="1"/>
  <c r="Q52" i="1"/>
  <c r="N52" i="1"/>
  <c r="M52" i="1"/>
  <c r="J52" i="1"/>
  <c r="I52" i="1"/>
  <c r="F52" i="1"/>
  <c r="E52" i="1" s="1"/>
  <c r="DR29" i="1"/>
  <c r="DQ29" i="1"/>
  <c r="DN29" i="1"/>
  <c r="DM29" i="1" s="1"/>
  <c r="DJ29" i="1"/>
  <c r="DG29" i="1"/>
  <c r="DF29" i="1" s="1"/>
  <c r="DC29" i="1"/>
  <c r="DB29" i="1"/>
  <c r="CY29" i="1"/>
  <c r="CV29" i="1"/>
  <c r="CQ29" i="1"/>
  <c r="CO29" i="1"/>
  <c r="CL29" i="1"/>
  <c r="CJ29" i="1"/>
  <c r="CG29" i="1"/>
  <c r="CF29" i="1"/>
  <c r="CB29" i="1"/>
  <c r="CA29" i="1"/>
  <c r="BY29" i="1"/>
  <c r="BX29" i="1" s="1"/>
  <c r="BW29" i="1" s="1"/>
  <c r="BR29" i="1"/>
  <c r="BQ29" i="1" s="1"/>
  <c r="BL29" i="1"/>
  <c r="BK29" i="1" s="1"/>
  <c r="BH29" i="1"/>
  <c r="BE29" i="1"/>
  <c r="BD29" i="1" s="1"/>
  <c r="AX29" i="1"/>
  <c r="AW29" i="1" s="1"/>
  <c r="AT29" i="1"/>
  <c r="AS29" i="1" s="1"/>
  <c r="AH29" i="1"/>
  <c r="AD29" i="1"/>
  <c r="AC29" i="1"/>
  <c r="V29" i="1"/>
  <c r="R29" i="1"/>
  <c r="Q29" i="1"/>
  <c r="N29" i="1"/>
  <c r="M29" i="1"/>
  <c r="J29" i="1"/>
  <c r="I29" i="1"/>
  <c r="F29" i="1"/>
  <c r="E29" i="1" s="1"/>
  <c r="DR38" i="1"/>
  <c r="DQ38" i="1"/>
  <c r="DN38" i="1"/>
  <c r="DM38" i="1" s="1"/>
  <c r="DJ38" i="1"/>
  <c r="DG38" i="1"/>
  <c r="DF38" i="1" s="1"/>
  <c r="DC38" i="1"/>
  <c r="DB38" i="1"/>
  <c r="CY38" i="1"/>
  <c r="CV38" i="1"/>
  <c r="CQ38" i="1"/>
  <c r="CO38" i="1"/>
  <c r="CL38" i="1"/>
  <c r="CJ38" i="1"/>
  <c r="CG38" i="1"/>
  <c r="CF38" i="1"/>
  <c r="CB38" i="1"/>
  <c r="CA38" i="1"/>
  <c r="BY38" i="1"/>
  <c r="BX38" i="1" s="1"/>
  <c r="BW38" i="1" s="1"/>
  <c r="BR38" i="1"/>
  <c r="BQ38" i="1" s="1"/>
  <c r="BL38" i="1"/>
  <c r="BK38" i="1" s="1"/>
  <c r="BH38" i="1"/>
  <c r="BE38" i="1"/>
  <c r="BD38" i="1" s="1"/>
  <c r="AX38" i="1"/>
  <c r="AW38" i="1" s="1"/>
  <c r="AT38" i="1"/>
  <c r="AS38" i="1" s="1"/>
  <c r="AH38" i="1"/>
  <c r="AG38" i="1" s="1"/>
  <c r="AD38" i="1"/>
  <c r="AC38" i="1"/>
  <c r="V38" i="1"/>
  <c r="U38" i="1" s="1"/>
  <c r="R38" i="1"/>
  <c r="Q38" i="1"/>
  <c r="N38" i="1"/>
  <c r="M38" i="1"/>
  <c r="J38" i="1"/>
  <c r="I38" i="1"/>
  <c r="F38" i="1"/>
  <c r="E38" i="1" s="1"/>
  <c r="DR28" i="1"/>
  <c r="DQ28" i="1"/>
  <c r="DN28" i="1"/>
  <c r="DM28" i="1" s="1"/>
  <c r="DJ28" i="1"/>
  <c r="DG28" i="1"/>
  <c r="DF28" i="1" s="1"/>
  <c r="DC28" i="1"/>
  <c r="DB28" i="1"/>
  <c r="CY28" i="1"/>
  <c r="CV28" i="1"/>
  <c r="CQ28" i="1"/>
  <c r="CO28" i="1"/>
  <c r="CL28" i="1"/>
  <c r="CJ28" i="1"/>
  <c r="CG28" i="1"/>
  <c r="CF28" i="1"/>
  <c r="CB28" i="1"/>
  <c r="CA28" i="1"/>
  <c r="BY28" i="1"/>
  <c r="BX28" i="1" s="1"/>
  <c r="BW28" i="1" s="1"/>
  <c r="BR28" i="1"/>
  <c r="BQ28" i="1" s="1"/>
  <c r="BL28" i="1"/>
  <c r="BK28" i="1" s="1"/>
  <c r="BH28" i="1"/>
  <c r="BE28" i="1"/>
  <c r="BD28" i="1" s="1"/>
  <c r="AX28" i="1"/>
  <c r="AW28" i="1" s="1"/>
  <c r="AT28" i="1"/>
  <c r="AS28" i="1" s="1"/>
  <c r="AH28" i="1"/>
  <c r="AG28" i="1" s="1"/>
  <c r="AD28" i="1"/>
  <c r="AC28" i="1"/>
  <c r="V28" i="1"/>
  <c r="U28" i="1" s="1"/>
  <c r="R28" i="1"/>
  <c r="Q28" i="1"/>
  <c r="N28" i="1"/>
  <c r="M28" i="1"/>
  <c r="J28" i="1"/>
  <c r="I28" i="1"/>
  <c r="F28" i="1"/>
  <c r="E28" i="1" s="1"/>
  <c r="DR23" i="1"/>
  <c r="DQ23" i="1"/>
  <c r="DN23" i="1"/>
  <c r="DM23" i="1" s="1"/>
  <c r="DJ23" i="1"/>
  <c r="DG23" i="1"/>
  <c r="DF23" i="1" s="1"/>
  <c r="DC23" i="1"/>
  <c r="DB23" i="1"/>
  <c r="CY23" i="1"/>
  <c r="CV23" i="1"/>
  <c r="CQ23" i="1"/>
  <c r="CO23" i="1"/>
  <c r="CL23" i="1"/>
  <c r="CJ23" i="1"/>
  <c r="CG23" i="1"/>
  <c r="CF23" i="1"/>
  <c r="CB23" i="1"/>
  <c r="CA23" i="1"/>
  <c r="BY23" i="1"/>
  <c r="BX23" i="1" s="1"/>
  <c r="BW23" i="1" s="1"/>
  <c r="BR23" i="1"/>
  <c r="BQ23" i="1" s="1"/>
  <c r="BL23" i="1"/>
  <c r="BK23" i="1" s="1"/>
  <c r="BH23" i="1"/>
  <c r="BE23" i="1"/>
  <c r="BD23" i="1" s="1"/>
  <c r="AX23" i="1"/>
  <c r="AW23" i="1" s="1"/>
  <c r="AT23" i="1"/>
  <c r="AS23" i="1" s="1"/>
  <c r="AH23" i="1"/>
  <c r="AG23" i="1" s="1"/>
  <c r="AD23" i="1"/>
  <c r="AC23" i="1"/>
  <c r="V23" i="1"/>
  <c r="U23" i="1" s="1"/>
  <c r="R23" i="1"/>
  <c r="Q23" i="1"/>
  <c r="N23" i="1"/>
  <c r="M23" i="1"/>
  <c r="J23" i="1"/>
  <c r="I23" i="1"/>
  <c r="F23" i="1"/>
  <c r="E23" i="1" s="1"/>
  <c r="DR43" i="1"/>
  <c r="DQ43" i="1"/>
  <c r="DN43" i="1"/>
  <c r="DM43" i="1" s="1"/>
  <c r="DJ43" i="1"/>
  <c r="DG43" i="1"/>
  <c r="DF43" i="1" s="1"/>
  <c r="DC43" i="1"/>
  <c r="DB43" i="1"/>
  <c r="CY43" i="1"/>
  <c r="CV43" i="1"/>
  <c r="CQ43" i="1"/>
  <c r="CO43" i="1"/>
  <c r="CL43" i="1"/>
  <c r="CJ43" i="1"/>
  <c r="CG43" i="1"/>
  <c r="CF43" i="1"/>
  <c r="CB43" i="1"/>
  <c r="CA43" i="1"/>
  <c r="BY43" i="1"/>
  <c r="BX43" i="1" s="1"/>
  <c r="BW43" i="1" s="1"/>
  <c r="BR43" i="1"/>
  <c r="BQ43" i="1" s="1"/>
  <c r="BL43" i="1"/>
  <c r="BK43" i="1" s="1"/>
  <c r="BH43" i="1"/>
  <c r="BE43" i="1"/>
  <c r="BD43" i="1" s="1"/>
  <c r="AX43" i="1"/>
  <c r="AW43" i="1" s="1"/>
  <c r="AT43" i="1"/>
  <c r="AS43" i="1" s="1"/>
  <c r="AH43" i="1"/>
  <c r="AG43" i="1" s="1"/>
  <c r="AD43" i="1"/>
  <c r="AC43" i="1"/>
  <c r="V43" i="1"/>
  <c r="U43" i="1" s="1"/>
  <c r="R43" i="1"/>
  <c r="Q43" i="1"/>
  <c r="N43" i="1"/>
  <c r="M43" i="1"/>
  <c r="J43" i="1"/>
  <c r="I43" i="1"/>
  <c r="F43" i="1"/>
  <c r="E43" i="1" s="1"/>
  <c r="DR20" i="1"/>
  <c r="DQ20" i="1"/>
  <c r="DN20" i="1"/>
  <c r="DM20" i="1" s="1"/>
  <c r="DJ20" i="1"/>
  <c r="DG20" i="1"/>
  <c r="DF20" i="1" s="1"/>
  <c r="DC20" i="1"/>
  <c r="DB20" i="1"/>
  <c r="CY20" i="1"/>
  <c r="CV20" i="1"/>
  <c r="CQ20" i="1"/>
  <c r="CO20" i="1"/>
  <c r="CL20" i="1"/>
  <c r="CJ20" i="1"/>
  <c r="CG20" i="1"/>
  <c r="CF20" i="1"/>
  <c r="CB20" i="1"/>
  <c r="CA20" i="1"/>
  <c r="BY20" i="1"/>
  <c r="BX20" i="1" s="1"/>
  <c r="BW20" i="1" s="1"/>
  <c r="BR20" i="1"/>
  <c r="BQ20" i="1" s="1"/>
  <c r="BL20" i="1"/>
  <c r="BK20" i="1" s="1"/>
  <c r="BH20" i="1"/>
  <c r="BE20" i="1"/>
  <c r="BD20" i="1" s="1"/>
  <c r="AX20" i="1"/>
  <c r="AW20" i="1" s="1"/>
  <c r="AT20" i="1"/>
  <c r="AS20" i="1" s="1"/>
  <c r="AH20" i="1"/>
  <c r="AG20" i="1" s="1"/>
  <c r="AD20" i="1"/>
  <c r="AC20" i="1"/>
  <c r="V20" i="1"/>
  <c r="U20" i="1" s="1"/>
  <c r="R20" i="1"/>
  <c r="Q20" i="1"/>
  <c r="N20" i="1"/>
  <c r="M20" i="1"/>
  <c r="J20" i="1"/>
  <c r="I20" i="1"/>
  <c r="F20" i="1"/>
  <c r="E20" i="1" s="1"/>
  <c r="DR13" i="1"/>
  <c r="DQ13" i="1"/>
  <c r="DN13" i="1"/>
  <c r="DM13" i="1" s="1"/>
  <c r="DJ13" i="1"/>
  <c r="DG13" i="1"/>
  <c r="DF13" i="1" s="1"/>
  <c r="DC13" i="1"/>
  <c r="DB13" i="1"/>
  <c r="CY13" i="1"/>
  <c r="CV13" i="1"/>
  <c r="CQ13" i="1"/>
  <c r="CO13" i="1"/>
  <c r="CL13" i="1"/>
  <c r="CJ13" i="1"/>
  <c r="CG13" i="1"/>
  <c r="CF13" i="1"/>
  <c r="CB13" i="1"/>
  <c r="CA13" i="1"/>
  <c r="BY13" i="1"/>
  <c r="BX13" i="1" s="1"/>
  <c r="BW13" i="1" s="1"/>
  <c r="BR13" i="1"/>
  <c r="BQ13" i="1" s="1"/>
  <c r="BL13" i="1"/>
  <c r="BK13" i="1" s="1"/>
  <c r="BH13" i="1"/>
  <c r="BE13" i="1"/>
  <c r="BD13" i="1" s="1"/>
  <c r="AX13" i="1"/>
  <c r="AW13" i="1" s="1"/>
  <c r="AT13" i="1"/>
  <c r="AS13" i="1" s="1"/>
  <c r="AH13" i="1"/>
  <c r="AG13" i="1" s="1"/>
  <c r="AD13" i="1"/>
  <c r="AC13" i="1"/>
  <c r="V13" i="1"/>
  <c r="U13" i="1" s="1"/>
  <c r="R13" i="1"/>
  <c r="Q13" i="1"/>
  <c r="N13" i="1"/>
  <c r="M13" i="1"/>
  <c r="J13" i="1"/>
  <c r="I13" i="1"/>
  <c r="F13" i="1"/>
  <c r="E13" i="1" s="1"/>
  <c r="DR26" i="1"/>
  <c r="DQ26" i="1"/>
  <c r="DN26" i="1"/>
  <c r="DM26" i="1" s="1"/>
  <c r="DJ26" i="1"/>
  <c r="DG26" i="1"/>
  <c r="DF26" i="1" s="1"/>
  <c r="DC26" i="1"/>
  <c r="DB26" i="1"/>
  <c r="CY26" i="1"/>
  <c r="CV26" i="1"/>
  <c r="CQ26" i="1"/>
  <c r="CO26" i="1"/>
  <c r="CL26" i="1"/>
  <c r="CJ26" i="1"/>
  <c r="CG26" i="1"/>
  <c r="CF26" i="1"/>
  <c r="CB26" i="1"/>
  <c r="CA26" i="1"/>
  <c r="BY26" i="1"/>
  <c r="BX26" i="1" s="1"/>
  <c r="BW26" i="1" s="1"/>
  <c r="BR26" i="1"/>
  <c r="BQ26" i="1" s="1"/>
  <c r="BL26" i="1"/>
  <c r="BK26" i="1" s="1"/>
  <c r="BH26" i="1"/>
  <c r="BE26" i="1"/>
  <c r="BD26" i="1" s="1"/>
  <c r="AX26" i="1"/>
  <c r="AW26" i="1" s="1"/>
  <c r="AT26" i="1"/>
  <c r="AS26" i="1" s="1"/>
  <c r="AH26" i="1"/>
  <c r="AG26" i="1" s="1"/>
  <c r="AD26" i="1"/>
  <c r="AC26" i="1"/>
  <c r="V26" i="1"/>
  <c r="U26" i="1"/>
  <c r="R26" i="1"/>
  <c r="Q26" i="1"/>
  <c r="N26" i="1"/>
  <c r="M26" i="1"/>
  <c r="J26" i="1"/>
  <c r="I26" i="1"/>
  <c r="F26" i="1"/>
  <c r="E26" i="1" s="1"/>
  <c r="DR39" i="1"/>
  <c r="DQ39" i="1"/>
  <c r="DN39" i="1"/>
  <c r="DM39" i="1" s="1"/>
  <c r="DJ39" i="1"/>
  <c r="DG39" i="1"/>
  <c r="DF39" i="1" s="1"/>
  <c r="DC39" i="1"/>
  <c r="DB39" i="1"/>
  <c r="CY39" i="1"/>
  <c r="CV39" i="1"/>
  <c r="CQ39" i="1"/>
  <c r="CO39" i="1"/>
  <c r="CL39" i="1"/>
  <c r="CJ39" i="1"/>
  <c r="CG39" i="1"/>
  <c r="CF39" i="1"/>
  <c r="CB39" i="1"/>
  <c r="CA39" i="1"/>
  <c r="BY39" i="1"/>
  <c r="BX39" i="1" s="1"/>
  <c r="BW39" i="1" s="1"/>
  <c r="BR39" i="1"/>
  <c r="BQ39" i="1" s="1"/>
  <c r="BL39" i="1"/>
  <c r="BK39" i="1" s="1"/>
  <c r="BH39" i="1"/>
  <c r="BE39" i="1"/>
  <c r="BD39" i="1" s="1"/>
  <c r="AX39" i="1"/>
  <c r="AW39" i="1" s="1"/>
  <c r="AT39" i="1"/>
  <c r="AS39" i="1" s="1"/>
  <c r="AH39" i="1"/>
  <c r="AG39" i="1" s="1"/>
  <c r="AD39" i="1"/>
  <c r="AC39" i="1"/>
  <c r="V39" i="1"/>
  <c r="U39" i="1" s="1"/>
  <c r="R39" i="1"/>
  <c r="Q39" i="1"/>
  <c r="N39" i="1"/>
  <c r="M39" i="1"/>
  <c r="J39" i="1"/>
  <c r="I39" i="1"/>
  <c r="F39" i="1"/>
  <c r="E39" i="1" s="1"/>
  <c r="DR40" i="1"/>
  <c r="DQ40" i="1"/>
  <c r="DN40" i="1"/>
  <c r="DM40" i="1" s="1"/>
  <c r="DJ40" i="1"/>
  <c r="DG40" i="1"/>
  <c r="DF40" i="1" s="1"/>
  <c r="DC40" i="1"/>
  <c r="DB40" i="1"/>
  <c r="CY40" i="1"/>
  <c r="CV40" i="1"/>
  <c r="CQ40" i="1"/>
  <c r="CO40" i="1"/>
  <c r="CL40" i="1"/>
  <c r="CJ40" i="1"/>
  <c r="CG40" i="1"/>
  <c r="CF40" i="1"/>
  <c r="CB40" i="1"/>
  <c r="CA40" i="1"/>
  <c r="BY40" i="1"/>
  <c r="BX40" i="1" s="1"/>
  <c r="BW40" i="1" s="1"/>
  <c r="BR40" i="1"/>
  <c r="BQ40" i="1" s="1"/>
  <c r="BL40" i="1"/>
  <c r="BK40" i="1" s="1"/>
  <c r="BH40" i="1"/>
  <c r="BE40" i="1"/>
  <c r="BD40" i="1" s="1"/>
  <c r="AX40" i="1"/>
  <c r="AW40" i="1" s="1"/>
  <c r="AT40" i="1"/>
  <c r="AS40" i="1" s="1"/>
  <c r="AH40" i="1"/>
  <c r="AG40" i="1" s="1"/>
  <c r="AD40" i="1"/>
  <c r="AC40" i="1"/>
  <c r="V40" i="1"/>
  <c r="U40" i="1"/>
  <c r="R40" i="1"/>
  <c r="Q40" i="1"/>
  <c r="N40" i="1"/>
  <c r="M40" i="1"/>
  <c r="J40" i="1"/>
  <c r="I40" i="1"/>
  <c r="F40" i="1"/>
  <c r="E40" i="1" s="1"/>
  <c r="DR34" i="1"/>
  <c r="DQ34" i="1"/>
  <c r="DN34" i="1"/>
  <c r="DM34" i="1" s="1"/>
  <c r="DJ34" i="1"/>
  <c r="DG34" i="1"/>
  <c r="DF34" i="1" s="1"/>
  <c r="DC34" i="1"/>
  <c r="DB34" i="1"/>
  <c r="CY34" i="1"/>
  <c r="CV34" i="1"/>
  <c r="CQ34" i="1"/>
  <c r="CO34" i="1"/>
  <c r="CL34" i="1"/>
  <c r="CJ34" i="1"/>
  <c r="CG34" i="1"/>
  <c r="CF34" i="1"/>
  <c r="CB34" i="1"/>
  <c r="CA34" i="1"/>
  <c r="BY34" i="1"/>
  <c r="BX34" i="1"/>
  <c r="BW34" i="1" s="1"/>
  <c r="BR34" i="1"/>
  <c r="BQ34" i="1" s="1"/>
  <c r="BL34" i="1"/>
  <c r="BK34" i="1" s="1"/>
  <c r="BH34" i="1"/>
  <c r="BE34" i="1"/>
  <c r="BD34" i="1" s="1"/>
  <c r="AX34" i="1"/>
  <c r="AW34" i="1" s="1"/>
  <c r="AT34" i="1"/>
  <c r="AS34" i="1" s="1"/>
  <c r="AH34" i="1"/>
  <c r="AG34" i="1" s="1"/>
  <c r="AD34" i="1"/>
  <c r="AC34" i="1"/>
  <c r="V34" i="1"/>
  <c r="U34" i="1" s="1"/>
  <c r="R34" i="1"/>
  <c r="Q34" i="1"/>
  <c r="N34" i="1"/>
  <c r="M34" i="1"/>
  <c r="J34" i="1"/>
  <c r="I34" i="1"/>
  <c r="F34" i="1"/>
  <c r="E34" i="1" s="1"/>
  <c r="DR21" i="1"/>
  <c r="DQ21" i="1"/>
  <c r="DN21" i="1"/>
  <c r="DM21" i="1" s="1"/>
  <c r="DJ21" i="1"/>
  <c r="DG21" i="1"/>
  <c r="DF21" i="1" s="1"/>
  <c r="DC21" i="1"/>
  <c r="DB21" i="1"/>
  <c r="CY21" i="1"/>
  <c r="CV21" i="1"/>
  <c r="CQ21" i="1"/>
  <c r="CO21" i="1"/>
  <c r="CL21" i="1"/>
  <c r="CJ21" i="1"/>
  <c r="CG21" i="1"/>
  <c r="CF21" i="1"/>
  <c r="CB21" i="1"/>
  <c r="CA21" i="1"/>
  <c r="BY21" i="1"/>
  <c r="BX21" i="1" s="1"/>
  <c r="BW21" i="1" s="1"/>
  <c r="BR21" i="1"/>
  <c r="BQ21" i="1" s="1"/>
  <c r="BL21" i="1"/>
  <c r="BK21" i="1" s="1"/>
  <c r="BH21" i="1"/>
  <c r="BE21" i="1"/>
  <c r="BD21" i="1" s="1"/>
  <c r="AX21" i="1"/>
  <c r="AW21" i="1" s="1"/>
  <c r="AT21" i="1"/>
  <c r="AS21" i="1" s="1"/>
  <c r="AH21" i="1"/>
  <c r="AG21" i="1" s="1"/>
  <c r="AD21" i="1"/>
  <c r="AC21" i="1"/>
  <c r="V21" i="1"/>
  <c r="U21" i="1" s="1"/>
  <c r="R21" i="1"/>
  <c r="Q21" i="1"/>
  <c r="N21" i="1"/>
  <c r="M21" i="1"/>
  <c r="J21" i="1"/>
  <c r="I21" i="1"/>
  <c r="F21" i="1"/>
  <c r="E21" i="1" s="1"/>
  <c r="DR50" i="1"/>
  <c r="DQ50" i="1"/>
  <c r="DN50" i="1"/>
  <c r="DM50" i="1" s="1"/>
  <c r="DJ50" i="1"/>
  <c r="DG50" i="1"/>
  <c r="DF50" i="1" s="1"/>
  <c r="DC50" i="1"/>
  <c r="DB50" i="1"/>
  <c r="CY50" i="1"/>
  <c r="CV50" i="1"/>
  <c r="CQ50" i="1"/>
  <c r="CO50" i="1"/>
  <c r="CL50" i="1"/>
  <c r="CJ50" i="1"/>
  <c r="CG50" i="1"/>
  <c r="CF50" i="1"/>
  <c r="CB50" i="1"/>
  <c r="CA50" i="1"/>
  <c r="BY50" i="1"/>
  <c r="BX50" i="1" s="1"/>
  <c r="BW50" i="1" s="1"/>
  <c r="BR50" i="1"/>
  <c r="BQ50" i="1" s="1"/>
  <c r="BL50" i="1"/>
  <c r="BK50" i="1" s="1"/>
  <c r="BH50" i="1"/>
  <c r="BE50" i="1"/>
  <c r="BD50" i="1" s="1"/>
  <c r="AX50" i="1"/>
  <c r="AW50" i="1" s="1"/>
  <c r="AT50" i="1"/>
  <c r="AS50" i="1" s="1"/>
  <c r="AH50" i="1"/>
  <c r="AG50" i="1" s="1"/>
  <c r="AD50" i="1"/>
  <c r="AC50" i="1"/>
  <c r="V50" i="1"/>
  <c r="U50" i="1" s="1"/>
  <c r="R50" i="1"/>
  <c r="Q50" i="1"/>
  <c r="N50" i="1"/>
  <c r="M50" i="1"/>
  <c r="J50" i="1"/>
  <c r="I50" i="1"/>
  <c r="F50" i="1"/>
  <c r="E50" i="1" s="1"/>
  <c r="DR65" i="1"/>
  <c r="DQ65" i="1"/>
  <c r="DN65" i="1"/>
  <c r="DM65" i="1" s="1"/>
  <c r="DJ65" i="1"/>
  <c r="DG65" i="1"/>
  <c r="DF65" i="1" s="1"/>
  <c r="DC65" i="1"/>
  <c r="DB65" i="1"/>
  <c r="CY65" i="1"/>
  <c r="CV65" i="1"/>
  <c r="CQ65" i="1"/>
  <c r="CO65" i="1"/>
  <c r="CL65" i="1"/>
  <c r="CJ65" i="1"/>
  <c r="CG65" i="1"/>
  <c r="CF65" i="1"/>
  <c r="CB65" i="1"/>
  <c r="CA65" i="1"/>
  <c r="BY65" i="1"/>
  <c r="BX65" i="1" s="1"/>
  <c r="BW65" i="1" s="1"/>
  <c r="BR65" i="1"/>
  <c r="BQ65" i="1" s="1"/>
  <c r="BL65" i="1"/>
  <c r="BK65" i="1" s="1"/>
  <c r="BH65" i="1"/>
  <c r="BE65" i="1"/>
  <c r="BD65" i="1" s="1"/>
  <c r="AX65" i="1"/>
  <c r="AW65" i="1" s="1"/>
  <c r="AT65" i="1"/>
  <c r="AS65" i="1" s="1"/>
  <c r="AH65" i="1"/>
  <c r="AG65" i="1" s="1"/>
  <c r="AD65" i="1"/>
  <c r="AC65" i="1"/>
  <c r="V65" i="1"/>
  <c r="U65" i="1" s="1"/>
  <c r="R65" i="1"/>
  <c r="Q65" i="1"/>
  <c r="N65" i="1"/>
  <c r="M65" i="1"/>
  <c r="J65" i="1"/>
  <c r="I65" i="1"/>
  <c r="F65" i="1"/>
  <c r="E65" i="1" s="1"/>
  <c r="DR31" i="1"/>
  <c r="DQ31" i="1"/>
  <c r="DN31" i="1"/>
  <c r="DM31" i="1" s="1"/>
  <c r="DJ31" i="1"/>
  <c r="DG31" i="1"/>
  <c r="DF31" i="1" s="1"/>
  <c r="DC31" i="1"/>
  <c r="DB31" i="1"/>
  <c r="CY31" i="1"/>
  <c r="CV31" i="1"/>
  <c r="CQ31" i="1"/>
  <c r="CO31" i="1"/>
  <c r="CL31" i="1"/>
  <c r="CJ31" i="1"/>
  <c r="CG31" i="1"/>
  <c r="CF31" i="1"/>
  <c r="CB31" i="1"/>
  <c r="CA31" i="1"/>
  <c r="BY31" i="1"/>
  <c r="BX31" i="1" s="1"/>
  <c r="BW31" i="1" s="1"/>
  <c r="BR31" i="1"/>
  <c r="BQ31" i="1" s="1"/>
  <c r="BL31" i="1"/>
  <c r="BK31" i="1" s="1"/>
  <c r="BH31" i="1"/>
  <c r="BE31" i="1"/>
  <c r="BD31" i="1" s="1"/>
  <c r="AX31" i="1"/>
  <c r="AW31" i="1" s="1"/>
  <c r="AT31" i="1"/>
  <c r="AS31" i="1" s="1"/>
  <c r="AH31" i="1"/>
  <c r="AG31" i="1" s="1"/>
  <c r="AD31" i="1"/>
  <c r="AC31" i="1"/>
  <c r="V31" i="1"/>
  <c r="U31" i="1" s="1"/>
  <c r="R31" i="1"/>
  <c r="Q31" i="1"/>
  <c r="N31" i="1"/>
  <c r="M31" i="1"/>
  <c r="J31" i="1"/>
  <c r="I31" i="1"/>
  <c r="F31" i="1"/>
  <c r="E31" i="1" s="1"/>
  <c r="DR25" i="1"/>
  <c r="DQ25" i="1"/>
  <c r="DN25" i="1"/>
  <c r="DM25" i="1" s="1"/>
  <c r="DJ25" i="1"/>
  <c r="DG25" i="1"/>
  <c r="DF25" i="1" s="1"/>
  <c r="DC25" i="1"/>
  <c r="DB25" i="1"/>
  <c r="CY25" i="1"/>
  <c r="CV25" i="1"/>
  <c r="CQ25" i="1"/>
  <c r="CO25" i="1"/>
  <c r="CL25" i="1"/>
  <c r="CJ25" i="1"/>
  <c r="CG25" i="1"/>
  <c r="CF25" i="1"/>
  <c r="CB25" i="1"/>
  <c r="CA25" i="1"/>
  <c r="BY25" i="1"/>
  <c r="BX25" i="1" s="1"/>
  <c r="BW25" i="1" s="1"/>
  <c r="BR25" i="1"/>
  <c r="BQ25" i="1" s="1"/>
  <c r="BL25" i="1"/>
  <c r="BK25" i="1" s="1"/>
  <c r="BH25" i="1"/>
  <c r="BE25" i="1"/>
  <c r="BD25" i="1" s="1"/>
  <c r="AX25" i="1"/>
  <c r="AW25" i="1" s="1"/>
  <c r="AT25" i="1"/>
  <c r="AS25" i="1" s="1"/>
  <c r="AH25" i="1"/>
  <c r="AG25" i="1" s="1"/>
  <c r="AD25" i="1"/>
  <c r="AC25" i="1"/>
  <c r="V25" i="1"/>
  <c r="U25" i="1" s="1"/>
  <c r="R25" i="1"/>
  <c r="Q25" i="1"/>
  <c r="N25" i="1"/>
  <c r="M25" i="1"/>
  <c r="J25" i="1"/>
  <c r="I25" i="1"/>
  <c r="F25" i="1"/>
  <c r="E25" i="1" s="1"/>
  <c r="DR49" i="1"/>
  <c r="DQ49" i="1"/>
  <c r="DN49" i="1"/>
  <c r="DM49" i="1" s="1"/>
  <c r="DJ49" i="1"/>
  <c r="DG49" i="1"/>
  <c r="DF49" i="1" s="1"/>
  <c r="DC49" i="1"/>
  <c r="DB49" i="1"/>
  <c r="CY49" i="1"/>
  <c r="CV49" i="1"/>
  <c r="CQ49" i="1"/>
  <c r="CO49" i="1"/>
  <c r="CL49" i="1"/>
  <c r="CJ49" i="1"/>
  <c r="CG49" i="1"/>
  <c r="CF49" i="1"/>
  <c r="CB49" i="1"/>
  <c r="CA49" i="1"/>
  <c r="BY49" i="1"/>
  <c r="BX49" i="1" s="1"/>
  <c r="BW49" i="1" s="1"/>
  <c r="BR49" i="1"/>
  <c r="BQ49" i="1" s="1"/>
  <c r="BL49" i="1"/>
  <c r="BK49" i="1" s="1"/>
  <c r="BH49" i="1"/>
  <c r="BE49" i="1"/>
  <c r="BD49" i="1" s="1"/>
  <c r="AX49" i="1"/>
  <c r="AW49" i="1" s="1"/>
  <c r="AT49" i="1"/>
  <c r="AS49" i="1" s="1"/>
  <c r="AH49" i="1"/>
  <c r="AG49" i="1" s="1"/>
  <c r="AD49" i="1"/>
  <c r="AC49" i="1"/>
  <c r="V49" i="1"/>
  <c r="U49" i="1" s="1"/>
  <c r="R49" i="1"/>
  <c r="Q49" i="1"/>
  <c r="N49" i="1"/>
  <c r="M49" i="1"/>
  <c r="J49" i="1"/>
  <c r="I49" i="1"/>
  <c r="F49" i="1"/>
  <c r="E49" i="1" s="1"/>
  <c r="DR33" i="1"/>
  <c r="DQ33" i="1"/>
  <c r="DN33" i="1"/>
  <c r="DM33" i="1" s="1"/>
  <c r="DJ33" i="1"/>
  <c r="DG33" i="1"/>
  <c r="DF33" i="1" s="1"/>
  <c r="DC33" i="1"/>
  <c r="DB33" i="1"/>
  <c r="CY33" i="1"/>
  <c r="CV33" i="1"/>
  <c r="CQ33" i="1"/>
  <c r="CO33" i="1"/>
  <c r="CL33" i="1"/>
  <c r="CJ33" i="1"/>
  <c r="CG33" i="1"/>
  <c r="CF33" i="1"/>
  <c r="CB33" i="1"/>
  <c r="CA33" i="1"/>
  <c r="BY33" i="1"/>
  <c r="BX33" i="1" s="1"/>
  <c r="BW33" i="1" s="1"/>
  <c r="BR33" i="1"/>
  <c r="BQ33" i="1" s="1"/>
  <c r="BL33" i="1"/>
  <c r="BK33" i="1" s="1"/>
  <c r="BH33" i="1"/>
  <c r="BE33" i="1"/>
  <c r="BD33" i="1" s="1"/>
  <c r="AX33" i="1"/>
  <c r="AW33" i="1" s="1"/>
  <c r="AT33" i="1"/>
  <c r="AS33" i="1" s="1"/>
  <c r="AH33" i="1"/>
  <c r="AG33" i="1" s="1"/>
  <c r="AD33" i="1"/>
  <c r="AC33" i="1"/>
  <c r="V33" i="1"/>
  <c r="U33" i="1" s="1"/>
  <c r="R33" i="1"/>
  <c r="Q33" i="1"/>
  <c r="N33" i="1"/>
  <c r="J33" i="1"/>
  <c r="I33" i="1"/>
  <c r="F33" i="1"/>
  <c r="E33" i="1" s="1"/>
  <c r="DR12" i="1"/>
  <c r="DQ12" i="1"/>
  <c r="DN12" i="1"/>
  <c r="DM12" i="1" s="1"/>
  <c r="DG12" i="1"/>
  <c r="DF12" i="1" s="1"/>
  <c r="DC12" i="1"/>
  <c r="DB12" i="1"/>
  <c r="CY12" i="1"/>
  <c r="CV12" i="1"/>
  <c r="CQ12" i="1"/>
  <c r="CO12" i="1"/>
  <c r="CL12" i="1"/>
  <c r="CJ12" i="1"/>
  <c r="CG12" i="1"/>
  <c r="CF12" i="1"/>
  <c r="CB12" i="1"/>
  <c r="CA12" i="1"/>
  <c r="BX12" i="1"/>
  <c r="BW12" i="1" s="1"/>
  <c r="BR12" i="1"/>
  <c r="BL12" i="1"/>
  <c r="BK12" i="1" s="1"/>
  <c r="BH12" i="1"/>
  <c r="BE12" i="1"/>
  <c r="BD12" i="1" s="1"/>
  <c r="AX12" i="1"/>
  <c r="AW12" i="1" s="1"/>
  <c r="AT12" i="1"/>
  <c r="AS12" i="1" s="1"/>
  <c r="AH12" i="1"/>
  <c r="AG12" i="1" s="1"/>
  <c r="AD12" i="1"/>
  <c r="AC12" i="1"/>
  <c r="V12" i="1"/>
  <c r="U12" i="1" s="1"/>
  <c r="R12" i="1"/>
  <c r="Q12" i="1"/>
  <c r="N12" i="1"/>
  <c r="M12" i="1"/>
  <c r="J12" i="1"/>
  <c r="I12" i="1"/>
  <c r="F12" i="1"/>
  <c r="E12" i="1" s="1"/>
  <c r="DK7" i="1"/>
  <c r="AP68" i="1" l="1"/>
  <c r="AT68" i="1"/>
  <c r="BY68" i="1"/>
  <c r="J68" i="1"/>
  <c r="V68" i="1"/>
  <c r="AD68" i="1"/>
  <c r="CB68" i="1"/>
  <c r="DR68" i="1"/>
  <c r="N68" i="1"/>
  <c r="AH68" i="1"/>
  <c r="BE68" i="1"/>
  <c r="BL68" i="1"/>
  <c r="CG68" i="1"/>
  <c r="CJ68" i="1"/>
  <c r="R68" i="1"/>
  <c r="DG68" i="1"/>
  <c r="DC68" i="1"/>
  <c r="U29" i="1"/>
  <c r="AX68" i="1"/>
  <c r="BX68" i="1"/>
  <c r="DU19" i="1"/>
  <c r="DU61" i="1"/>
  <c r="DU39" i="1"/>
  <c r="DU49" i="1"/>
  <c r="DU33" i="1"/>
  <c r="DU62" i="1"/>
  <c r="DU38" i="1"/>
  <c r="DU22" i="1"/>
  <c r="DU42" i="1"/>
  <c r="DU59" i="1"/>
  <c r="DU65" i="1"/>
  <c r="DU50" i="1"/>
  <c r="AG29" i="1"/>
  <c r="DU67" i="1"/>
  <c r="DU56" i="1"/>
  <c r="DU66" i="1"/>
  <c r="DU63" i="1"/>
  <c r="DN68" i="1"/>
  <c r="DU40" i="1"/>
  <c r="DU58" i="1"/>
  <c r="DU47" i="1"/>
  <c r="DU45" i="1"/>
  <c r="DU55" i="1"/>
  <c r="DU43" i="1"/>
  <c r="DU51" i="1"/>
  <c r="DU30" i="1"/>
  <c r="F68" i="1"/>
  <c r="DU20" i="1"/>
  <c r="DU54" i="1"/>
  <c r="DU57" i="1"/>
  <c r="DU48" i="1"/>
  <c r="DU27" i="1"/>
  <c r="DU60" i="1"/>
  <c r="DU34" i="1"/>
  <c r="DU28" i="1"/>
  <c r="DU53" i="1"/>
  <c r="DU18" i="1"/>
  <c r="DU16" i="1"/>
  <c r="DU46" i="1"/>
  <c r="DU14" i="1"/>
  <c r="DU44" i="1"/>
  <c r="DU12" i="1"/>
  <c r="DU21" i="1"/>
  <c r="DU23" i="1"/>
  <c r="DU17" i="1"/>
  <c r="DU24" i="1"/>
  <c r="DU9" i="1"/>
  <c r="DU31" i="1"/>
  <c r="DU13" i="1"/>
  <c r="DU32" i="1"/>
  <c r="DU11" i="1"/>
  <c r="DU36" i="1"/>
  <c r="DU41" i="1"/>
  <c r="DU64" i="1"/>
  <c r="DU37" i="1"/>
  <c r="DU25" i="1"/>
  <c r="DU26" i="1"/>
  <c r="DU52" i="1"/>
  <c r="DU15" i="1"/>
  <c r="DU10" i="1"/>
  <c r="DU35" i="1"/>
  <c r="DU29" i="1" l="1"/>
  <c r="DV45" i="1" s="1"/>
  <c r="DV25" i="1" l="1"/>
  <c r="DV59" i="1"/>
  <c r="DV62" i="1"/>
  <c r="DV13" i="1"/>
  <c r="DV64" i="1"/>
  <c r="DV16" i="1"/>
  <c r="DV66" i="1"/>
  <c r="DV19" i="1"/>
  <c r="DV51" i="1"/>
  <c r="DV23" i="1"/>
  <c r="DV31" i="1"/>
  <c r="DV18" i="1"/>
  <c r="DV15" i="1"/>
  <c r="DV10" i="1"/>
  <c r="DV67" i="1"/>
  <c r="DV54" i="1"/>
  <c r="DV46" i="1"/>
  <c r="DV49" i="1"/>
  <c r="DV60" i="1"/>
  <c r="DV12" i="1"/>
  <c r="DV57" i="1"/>
  <c r="DV35" i="1"/>
  <c r="DV61" i="1"/>
  <c r="DV37" i="1"/>
  <c r="DV22" i="1"/>
  <c r="DV21" i="1"/>
  <c r="DV26" i="1"/>
  <c r="DV38" i="1"/>
  <c r="DV34" i="1"/>
  <c r="DV30" i="1"/>
  <c r="DV48" i="1"/>
  <c r="DV17" i="1"/>
  <c r="DV14" i="1"/>
  <c r="DV28" i="1"/>
  <c r="DV20" i="1"/>
  <c r="DV52" i="1"/>
  <c r="DV65" i="1"/>
  <c r="DV29" i="1"/>
  <c r="DV53" i="1"/>
  <c r="DV40" i="1"/>
  <c r="DV42" i="1"/>
  <c r="DV32" i="1"/>
  <c r="DV47" i="1"/>
  <c r="DV44" i="1"/>
  <c r="DV33" i="1"/>
  <c r="DV41" i="1"/>
  <c r="DV43" i="1"/>
  <c r="DV50" i="1"/>
  <c r="DV11" i="1"/>
  <c r="DV24" i="1"/>
  <c r="DV39" i="1"/>
  <c r="DV55" i="1"/>
  <c r="DV36" i="1"/>
  <c r="DV63" i="1"/>
  <c r="DV56" i="1"/>
  <c r="DV58" i="1"/>
  <c r="DV9" i="1"/>
  <c r="DV27" i="1"/>
</calcChain>
</file>

<file path=xl/comments1.xml><?xml version="1.0" encoding="utf-8"?>
<comments xmlns="http://schemas.openxmlformats.org/spreadsheetml/2006/main">
  <authors>
    <author>Елена Владимировна Бойцова</author>
    <author>Жук Мария Сергеевна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04"/>
          </rPr>
          <t>Елена Владимировна Бойцова:</t>
        </r>
        <r>
          <rPr>
            <sz val="9"/>
            <color indexed="81"/>
            <rFont val="Tahoma"/>
            <family val="2"/>
            <charset val="204"/>
          </rPr>
          <t xml:space="preserve">
Выверено по Свод Смарту</t>
        </r>
      </text>
    </comment>
    <comment ref="K8" authorId="0">
      <text>
        <r>
          <rPr>
            <b/>
            <sz val="9"/>
            <color indexed="81"/>
            <rFont val="Tahoma"/>
            <family val="2"/>
            <charset val="204"/>
          </rPr>
          <t>Елена Владимировна Бойцова:</t>
        </r>
        <r>
          <rPr>
            <sz val="9"/>
            <color indexed="81"/>
            <rFont val="Tahoma"/>
            <family val="2"/>
            <charset val="204"/>
          </rPr>
          <t xml:space="preserve">
Выверено по Свод Смарту</t>
        </r>
      </text>
    </comment>
    <comment ref="O8" authorId="0">
      <text>
        <r>
          <rPr>
            <b/>
            <sz val="9"/>
            <color indexed="81"/>
            <rFont val="Tahoma"/>
            <family val="2"/>
            <charset val="204"/>
          </rPr>
          <t>Елена Владимировна Бойцова:</t>
        </r>
        <r>
          <rPr>
            <sz val="9"/>
            <color indexed="81"/>
            <rFont val="Tahoma"/>
            <family val="2"/>
            <charset val="204"/>
          </rPr>
          <t xml:space="preserve">
Выверено по свод смарту</t>
        </r>
      </text>
    </comment>
    <comment ref="S8" authorId="1">
      <text>
        <r>
          <rPr>
            <b/>
            <sz val="9"/>
            <rFont val="Tahoma"/>
            <charset val="204"/>
          </rPr>
          <t>Жук Мария Сергеевна:</t>
        </r>
        <r>
          <rPr>
            <sz val="9"/>
            <rFont val="Tahoma"/>
            <charset val="204"/>
          </rPr>
          <t xml:space="preserve">
316,35</t>
        </r>
      </text>
    </comment>
  </commentList>
</comments>
</file>

<file path=xl/sharedStrings.xml><?xml version="1.0" encoding="utf-8"?>
<sst xmlns="http://schemas.openxmlformats.org/spreadsheetml/2006/main" count="495" uniqueCount="228">
  <si>
    <t>Тип учреждения</t>
  </si>
  <si>
    <t>Наименование ОУ</t>
  </si>
  <si>
    <t xml:space="preserve">Показатели качества планирования </t>
  </si>
  <si>
    <t>Показатели финансовой устойчивости</t>
  </si>
  <si>
    <t>Стратегические показатели</t>
  </si>
  <si>
    <t>Показатели, оценивающие соблюдение установленных правил и регламентов (далее - СУПП)</t>
  </si>
  <si>
    <t>Показатели, оценивающие качество исполнения бюджета и финансовую дисциплину (ИБФД)</t>
  </si>
  <si>
    <t>Всего</t>
  </si>
  <si>
    <t>Место</t>
  </si>
  <si>
    <t>Отношение фактических доходов от приносящей доход деятельности к запланированным в последней версии плана финансово-хозяйственной деятельности (далее - ПФХД) доходам от приносящей доход деятельности</t>
  </si>
  <si>
    <t>Отношение кассовых расходов от приносящей доход деятельности к запланированным в последней версии ПФХД расходам от приносящей доход деятельности</t>
  </si>
  <si>
    <t>Отношение кассовых доходов от приносящей доход деятельности к первоначально запланированным доходам от приносящей доход деятельности</t>
  </si>
  <si>
    <t>Отношение кассовых расходов от приносящей доход деятельности к первоначально запланированным расходам от приносящей доход деятельности</t>
  </si>
  <si>
    <t>Наличие необоснованных остатков субсидии на выполнение государственного задания</t>
  </si>
  <si>
    <t>Наличие остатков средств субсидии на иные цели</t>
  </si>
  <si>
    <t>Частота обновлений плана финансово-хозяйственной деятельности</t>
  </si>
  <si>
    <t>Частота обновлений сметы расходов образовательной организации</t>
  </si>
  <si>
    <t>Наличие остатков неиспользованных средств на конец отчетного периода</t>
  </si>
  <si>
    <t>Доля поступлений от приносящей доход деятельности в объеме поступлений от приносящей доход деятельности и субсидии на выполнение государственного задания (Показатель автономии)</t>
  </si>
  <si>
    <t>Прирост доходов от приносящей доход деятельности по отношению к прошлому году</t>
  </si>
  <si>
    <t>Зависимость государственной организации от заемных источников финансирования (коэффициент долговой нагрузки)</t>
  </si>
  <si>
    <t>Наличие просроченной кредиторской задолженности</t>
  </si>
  <si>
    <t>Наличие дебиторской задолженности, не реальной к взысканию</t>
  </si>
  <si>
    <t>Процент недостач и(или) хищений государственной собственности, выявленных у государственной организации</t>
  </si>
  <si>
    <t>Соответствие средней заработной платы педагогических работников показателям плана мероприятий ("дорожной карты") "Изменения в отраслях социальной сферы, направленные на повышение эффективности образования и науки в Ленинградской области", утвержденного распоряжением Правительства Ленинградской области от 24.04.2013 N 179-р</t>
  </si>
  <si>
    <t>Доля выплат на фонд оплаты труда за счет средств по приносящей доход деятельности и субсидии на выполнение государственного задания в объеме выплат за счет средств по приносящей доход деятельности и субсидии на выполнение государственного задания</t>
  </si>
  <si>
    <t>Кадровый потенциал сотрудников финансового подразделения</t>
  </si>
  <si>
    <t>Доля своевременно предоставленных в отчетном году документов и материалов для составления проекта областного бюджета Ленинградской области на очередной финансовый год и плановый период</t>
  </si>
  <si>
    <t>Наличие в отчетном периоде случаев несвоевременного предоставления ежемесячной и годовой отчетностей об исполнении бюджета</t>
  </si>
  <si>
    <t>Доля форм годовой бюджетной отчетности, представленной в отчетном году без ошибок</t>
  </si>
  <si>
    <t>Наличие в отчетном периоде случаев нарушений бюджетного законодательства, выявленных в ходе проведения контрольных мероприятий</t>
  </si>
  <si>
    <t>Доля судебных решений, вступивших в отчетном году в законную силу, предусматривающих полное или частичное удовлетворение исковых требований о возмещении ущерба от незаконных действий (бездействия) образовательного учреждения (или его должностных лиц)</t>
  </si>
  <si>
    <t>Своевременность и полнота размещения сведений, публикуемых учреждением на официальном сайте в сети Интернет bus.gov.ru</t>
  </si>
  <si>
    <t>Количество административных штрафов, наложенных на должностных лиц за нарушение законодательства о контрактной системе в сфере закупок, в расчете на 100 млн руб. расходов на оплату товаров, работ и услуг</t>
  </si>
  <si>
    <t>Соотношение кассовых расходов и плановых объемов бюджетных ассигнований в отчетном году</t>
  </si>
  <si>
    <t>Отношение просроченной кредиторской задолженности к объему бюджетных расходов в отчетном году</t>
  </si>
  <si>
    <t>Наличие случаев обращений государственных организаций по перемещению бюджетных ассигнований при отсутствии свободных остатков бюджетных ассигнований или лимитов</t>
  </si>
  <si>
    <t>Степень достижения целевых показателей, предусматриваемых государственным заданием</t>
  </si>
  <si>
    <t>Доля работников государственных организаций, получающих зарплату на банковские пластиковые карты</t>
  </si>
  <si>
    <t>ПКП-1</t>
  </si>
  <si>
    <t>соотношение</t>
  </si>
  <si>
    <t>фактический объем плановых доходов на отчетную дату</t>
  </si>
  <si>
    <t>плановый объем собственных доходов на дату, предусмотренный в последней версии ПФХД</t>
  </si>
  <si>
    <t>ПКП-2</t>
  </si>
  <si>
    <t>фактический объем расходов от приносящей доход деятельности</t>
  </si>
  <si>
    <t>плановый объем расходов от приносящей доход деятельности, предусмотренный в последней версии ПФХД</t>
  </si>
  <si>
    <t>ПКП-3</t>
  </si>
  <si>
    <t>фактический объем собственных доходов</t>
  </si>
  <si>
    <t>плановый объем собственных доходов, предусмотренный в первоначальной версии ПФХД</t>
  </si>
  <si>
    <t>ПКП-4</t>
  </si>
  <si>
    <t>плановый объем расходов от приносящей доход деятельности, предусмотренный в первоначальной версии ПФХД</t>
  </si>
  <si>
    <t>ПКП-5</t>
  </si>
  <si>
    <t>остаток по субсидии на выполнение государственного задания</t>
  </si>
  <si>
    <t>объем принятых и неисполненных обязательств текущего (отчетного) финансового года</t>
  </si>
  <si>
    <t>объем принятых обязательств на финансовое обеспечение расходов, следующих за текущим (отчетным) финансовым годом</t>
  </si>
  <si>
    <t>резервы предстоящих расходов по субсидии на выполнение государственного задания</t>
  </si>
  <si>
    <t>расходы, предусматриваемые на обеспечение объявленных конкурсов, по которым не заключены контракты</t>
  </si>
  <si>
    <t>объем субсидии на выполнение государственного задания</t>
  </si>
  <si>
    <t>ПКП-6</t>
  </si>
  <si>
    <t>остаток средств по субсидии на иные цели</t>
  </si>
  <si>
    <t>объем субсидии на иные цели, начисленный в 4-м квартале отчетного года</t>
  </si>
  <si>
    <t>ПКП-7</t>
  </si>
  <si>
    <t>факт выделения учреждению дополнительных субсидий на выполнение государственного задания, субсидий на иные цели и/или бюджетных инвестиций, изменения нормативно-правовых актов в части формирования ПФХД и реорганизации учреждения</t>
  </si>
  <si>
    <t>факт изменения плана финансово-хозяйственной деятельности учреждения</t>
  </si>
  <si>
    <t>ПКП-8</t>
  </si>
  <si>
    <t>факт выделения учреждению дополнительных средств, изменения нормативно-правовых актов в части формирования смет и реорганизации государственной организации</t>
  </si>
  <si>
    <t>факт изменения сметы государственной организации</t>
  </si>
  <si>
    <t>ПКП-9</t>
  </si>
  <si>
    <t>объем неиспользованных ассигнований на конец отчетного периода</t>
  </si>
  <si>
    <t>объем ассигнований, утвержденный на отчетный период бюджетополучателю</t>
  </si>
  <si>
    <t>ПФУ-1</t>
  </si>
  <si>
    <t>объем доходов от приносящей доход деятельности</t>
  </si>
  <si>
    <t>доходы по субсидии на выполнение государственного задания на оказание государственных услуг</t>
  </si>
  <si>
    <t>ПФУ-2</t>
  </si>
  <si>
    <t>доходы от приносящей доход деятельности в отчетном периоде</t>
  </si>
  <si>
    <t>доходы от приносящей доход деятельности за аналогичный период предыдущего года</t>
  </si>
  <si>
    <t>ПФУ-3</t>
  </si>
  <si>
    <t>объем доходов от приносящей доход деятельности в отчетном периоде</t>
  </si>
  <si>
    <t>расчеты с кредиторами по долговым обязательствам</t>
  </si>
  <si>
    <t>ПФУ-4</t>
  </si>
  <si>
    <t>объем просроченной кредиторской задолженности без учета судебно-оспариваемой задолженности на отчетную дату</t>
  </si>
  <si>
    <t>общий объем кредиторской задолженности</t>
  </si>
  <si>
    <t>ПФУ-5</t>
  </si>
  <si>
    <t>объем не реальной к взысканию дебиторской задолженности на отчетную дату</t>
  </si>
  <si>
    <t>общий объем дебиторской задолженности</t>
  </si>
  <si>
    <t>ПФУ-6</t>
  </si>
  <si>
    <t>сумма недостач и хищений денежных средств и нефинансовых активов государственной организации, установленная по результатам проведения в отчетном году контрольных мероприятий внутреннего финансового аудита организаций, органами государственного внутреннего и внешнего финансового контроля (тыс. рублей)</t>
  </si>
  <si>
    <t>остаточная стоимость основных средств организации на конец отчетного года (тыс. рублей)</t>
  </si>
  <si>
    <t>остаточная стоимость нематериальных активов организации, на конец отчетного года (тыс. рублей)</t>
  </si>
  <si>
    <t>остаточная стоимость материальных запасов организации на конец отчетного года (тыс. рублей)</t>
  </si>
  <si>
    <t>СП-1</t>
  </si>
  <si>
    <t>фонд начисленной заработной платы педагогических работников образовательных организаций (без учета работающих по внешнему совместительству) за отчетный период;</t>
  </si>
  <si>
    <t>среднесписочная численность педагогических работников (без учета работающих по внешнему совместительству) за отчетный период;</t>
  </si>
  <si>
    <t>длительность отчетного периода, на который производится расчет показателя (в месяцах)</t>
  </si>
  <si>
    <t>показатель средней заработной платы педагогических работников показателям плана мероприятий ("дорожной карты") "Изменения в отраслях социальной сферы, направленные на повышение эффективности образования и науки в Ленинградской области", утвержденного распоряжением Правительства Ленинградской области от 24.04.2013 N 179-р</t>
  </si>
  <si>
    <t>СП-2</t>
  </si>
  <si>
    <t>объем расходов на оплату труда и начисления на выплаты по оплате труда за счет средств по приносящей доход деятельности и субсидии на выполнение государственного задания</t>
  </si>
  <si>
    <t>объем расходов за счет средств по приносящей доход деятельности и субсидии на выполнение государственного задания (за исключением затрат на содержание имущества и иных субсидий)</t>
  </si>
  <si>
    <t>СП-3</t>
  </si>
  <si>
    <t>количество сотрудников финансового подразделения организации, принявших участие в семинарах-совещаниях, за отчетный период</t>
  </si>
  <si>
    <t>количество сотрудников финансового подразделения, обладающих свидетельствами (сертификатами, удостоверениями) о прохождении повышения квалификации в области экономики и финансов в течение последних трех лет</t>
  </si>
  <si>
    <t>общее фактическое количество сотрудников финансового подразделения организации по состоянию на 1 января текущего года</t>
  </si>
  <si>
    <t>СУПП-1</t>
  </si>
  <si>
    <t>количество документов и материалов, установленных распоряжением комитета общего и профессионального образования Ленинградской области, представленных учреждением в комитет образования для составления проекта бюджета на очередной финансовый год и плановый период без нарушения установленных распоряжением сроков</t>
  </si>
  <si>
    <t>количество документов и материалов, установленных распоряжением комитета общего и профессионального образования Ленинградской области, которые должны были быть представлены учреждением в комитет общего и профессионального образования Ленинградской области для составления проекта бюджета на очередной финансовый год и плановый период</t>
  </si>
  <si>
    <t>СУПП-2</t>
  </si>
  <si>
    <t>случаи несвоевременного предоставления ежемесячной и годовой отчетности об исполнении бюджета</t>
  </si>
  <si>
    <t>СУПП-3</t>
  </si>
  <si>
    <t>количество форм годовой бюджетной отчетности, представленной учреждением в комитет общего и профессионального образования Ленинградской области, без ошибок</t>
  </si>
  <si>
    <t>общее количество форм годовой бюджетной отчетности, представленной учреждением в комитет общего и профессионального образования Ленинградской области</t>
  </si>
  <si>
    <t>СУПП-4</t>
  </si>
  <si>
    <t>количество нарушений бюджетного законодательства, выявленных в ходе проведения контрольных мероприятий</t>
  </si>
  <si>
    <t>СУПП-5</t>
  </si>
  <si>
    <t>количество судебных решений, вступивших в отчетном году в законную силу, предусматривающих полное или частичное удовлетворение исковых требований о возмещении ущерба от незаконных действий (бездействия) образовательного учреждения (или его должностных лиц)</t>
  </si>
  <si>
    <t>СУПП-6</t>
  </si>
  <si>
    <t xml:space="preserve">количество позиций, которые должны быть опубликованы на официальном сайте в сети Интернет www.bus.gov.ru своевременно и в полном объеме, в том числе:
- о показателях бюджетной сметы;
- о результатах деятельности и об использовании имущества;
- сведения о проведенных в отношении учреждения контрольных мероприятиях и их результатах;
- информация о годовой бюджетной отчетности учреждения;
</t>
  </si>
  <si>
    <t>общее количество позиций, которые должны быть опубликованы, = 4</t>
  </si>
  <si>
    <t>СУПП-7</t>
  </si>
  <si>
    <t>количество позиций, которые должны быть опубликованы на официальном сайте в сети Интернет www.bus.gov.ru своевременно и в полном объеме, в том числе: - о государственном задании на оказание государственных услуг (выполнение работ) и его исполнении; - о плане финансово-хозяйственной деятельности; - об операциях с целевыми средствами из бюджета; - о результатах деятельности и об использовании имущества; - сведения о проведенных в отношении учреждения контрольных мероприятиях и их результатах; - информация о годовой бухгалтерской отчетности учреждения</t>
  </si>
  <si>
    <t>общее количество позиций, которые должны быть опубликованы, = 6</t>
  </si>
  <si>
    <t>СУПП-8</t>
  </si>
  <si>
    <t>количество административных штрафов, наложенных на должностных лиц организаций, в соответствии со статьей 7.29.3 КоАП РФ (единиц);</t>
  </si>
  <si>
    <t>объем расходов организаций на оплату товаров, работ и услуг в отчетном году (млн рублей)</t>
  </si>
  <si>
    <t>ИБФД-1</t>
  </si>
  <si>
    <t>кассовые расходы образовательного учреждения в отчетном году (без учета безвозмездных поступлений), тыс. руб.</t>
  </si>
  <si>
    <t>уточненный плановый объем бюджетных ассигнований государственной организации, тыс. руб.</t>
  </si>
  <si>
    <t>ИБФД-2</t>
  </si>
  <si>
    <t>объем просроченной кредиторской задолженности без учета судебно-оспариваемой задолженности по состоянию на конец отчетного года, тыс. руб.</t>
  </si>
  <si>
    <t>объем бюджетных расходов в отчетном году, тыс. руб.</t>
  </si>
  <si>
    <t>ИБФД-3</t>
  </si>
  <si>
    <t>количество случаев обращений образовательных организаций по перемещению бюджетных ассигнований при отсутствии свободных остатков бюджетных ассигнований или лимитов</t>
  </si>
  <si>
    <t>ИБФД-4</t>
  </si>
  <si>
    <t>Количество достигнутых целевых показателей, предусмотренных государственным заданием;</t>
  </si>
  <si>
    <t>Количество целевых показателей, предусмотренных государственным заданием</t>
  </si>
  <si>
    <t>ИБФД-5</t>
  </si>
  <si>
    <t>Количество работников</t>
  </si>
  <si>
    <t>Общее количество работников</t>
  </si>
  <si>
    <t>Источник данных</t>
  </si>
  <si>
    <t>Форма 0503737 "Отчет об исполнении учреждением плана его финансово-хозяйственной деятельности"</t>
  </si>
  <si>
    <t>ПФХД (последняя версия)</t>
  </si>
  <si>
    <t>ПФХД (первоначальная смета)</t>
  </si>
  <si>
    <t>ПФХД (первоначальная версия)</t>
  </si>
  <si>
    <t>Форма 0503779 "Сведения об остатках денежных средств учреждения".</t>
  </si>
  <si>
    <t>Форма 0503730 форма "Баланс государственного (муниципального) учреждения"</t>
  </si>
  <si>
    <t>Внутренние данные комитета общего и профессионального образования</t>
  </si>
  <si>
    <t>Приказы по учреждению</t>
  </si>
  <si>
    <t xml:space="preserve">Форма 0503737 "Отчет об исполнении учреждением плана его финансово-хозяйственной деятельности".
Внутренние данные Комитета общего и профессионального образования Ленинградской области
</t>
  </si>
  <si>
    <t xml:space="preserve">Форма 0503730 "Баланс государственного (муниципального) учреждения".
Форма 0503737 "Отчет об исполнении учреждением плана его финансово-хозяйственной деятельности"
</t>
  </si>
  <si>
    <t xml:space="preserve">Форма 0503169 "Сведения по дебиторской и кредиторской задолженности".
Форма 0503769 "Сведения по дебиторской и кредиторской задолженности учреждения" (кредиторская задолженность, все коды финансового обеспечения)
</t>
  </si>
  <si>
    <t>Сведения о численности и оплате труда работников сферы образования по категориям персонала (форма N "ЗП-образование"). Официальные данные статистической отчетности Росстата</t>
  </si>
  <si>
    <t>Внутренние данные комитета</t>
  </si>
  <si>
    <t>Данные учреждения</t>
  </si>
  <si>
    <t>Структурное подразделение</t>
  </si>
  <si>
    <t>ОФ и БУ</t>
  </si>
  <si>
    <t>ОЭ и ОБП</t>
  </si>
  <si>
    <t>Оценка</t>
  </si>
  <si>
    <t>Балл</t>
  </si>
  <si>
    <t>Мах</t>
  </si>
  <si>
    <t>Мin</t>
  </si>
  <si>
    <t>0  /  1</t>
  </si>
  <si>
    <t>0  / 1</t>
  </si>
  <si>
    <t>автономное</t>
  </si>
  <si>
    <t xml:space="preserve"> Государственное автономное образовательное учреждение высшего образования Ленинградской области "Ленинградский государственный университет имени А.С.Пушкина"</t>
  </si>
  <si>
    <t>Автономное образовательное учреждение высшего образования Ленинградской области "Государственный институт экономики, финансов, права и технологий"</t>
  </si>
  <si>
    <t>бюджетное</t>
  </si>
  <si>
    <t>Государственное бюджетное профессиональное образовательное учреждение Ленинградской области "Тосненский политехнический техникум"</t>
  </si>
  <si>
    <t>0</t>
  </si>
  <si>
    <t>Государственное автономное профессиональное образовательное учреждение Ленинградской области "Борский агропромышленный техникум"</t>
  </si>
  <si>
    <t xml:space="preserve"> Государственное автономное профессиональное образовательное учреждение Ленинградской области "Выборгский техникум агропромышленного и лесного комплекса"</t>
  </si>
  <si>
    <t>Государственное бюджетное профессиональное образовательное учреждение Ленинградской области "Мичуринский многопрофильный техникум"</t>
  </si>
  <si>
    <t>Государственное бюджетное профессиональное образовательное учреждение Ленинградской области "Бегуницкий агротехнологический техникум"</t>
  </si>
  <si>
    <t>Государственное автономное профессиональное образовательное учреждение Ленинградской области "Выборгский политехнический колледж "Александровский"</t>
  </si>
  <si>
    <t>Государственное автономное профессиональное образовательное учреждение Ленинградской области "Приозерский политехнический колледж"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</si>
  <si>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Е.И.Лебедева"</t>
  </si>
  <si>
    <t>Государственное бюджетное профессиональное образовательное учреждение Ленинградской области "Подпорожский политехнический техникум"</t>
  </si>
  <si>
    <t>Государственное автономное профессиональное образовательное учреждение Ленинградской области "Киришский политехнический техникум"</t>
  </si>
  <si>
    <t xml:space="preserve"> Государственное бюджетное профессиональное образовательное учреждение Ленинградской области "Техникум водного транспорта"</t>
  </si>
  <si>
    <t>Государственное бюджетное профессиональное образовательное учреждение Ленинградской области "Волховский многопрофильный техникум"</t>
  </si>
  <si>
    <t>Государственное бюджетное профессиональное образовательное учреждение Ленинградской области "Кингисеппский колледж технологии и сервиса"</t>
  </si>
  <si>
    <t>Государственное автономное профессиональное образовательное учреждение Ленинградской области "Сосновоборский политехнический колледж"</t>
  </si>
  <si>
    <t>Государственное автономное профессиональное образовательное учреждение Ленинградской области "Кировский политехнический техникум"</t>
  </si>
  <si>
    <t>Государственное бюджетное профессиональное образовательное учреждение Ленинградской области "Политехнический колледж" города Светогорска</t>
  </si>
  <si>
    <t>Государственное автономное профессиональное образовательное учреждение Ленинградской области "Лужский агропромышленный техникум"</t>
  </si>
  <si>
    <t>Государственное бюджетное профессиональное образовательное учреждение Ленинградской области "Лодейнопольский техникум промышленных технологий"</t>
  </si>
  <si>
    <t>Государственное бюджетное профессиональное образовательное учреждение Ленинградской области "Гатчинский педагогический колледж имени К.Д.Ушинского"</t>
  </si>
  <si>
    <t>Государственное бюджетное профессиональное образовательное учреждение Ленинградской области "Лисинский лесной колледж"</t>
  </si>
  <si>
    <t>Государственное бюджетное профессиональное образовательное учреждение Ленинградской области "Сланцевский индустриальный техникум"</t>
  </si>
  <si>
    <t>Государственное бюджетное профессиональное образовательное учреждение Ленинградской области "Беседский сельскохозяйственный техникум"</t>
  </si>
  <si>
    <t>Государственное автономное профессиональное образовательное учреждение Ленинградской области "Всеволожский агропромышленный техникум"</t>
  </si>
  <si>
    <t>Государственное бюджетное учреждение дополнительного образования "Центр оздоровления и отдыха "Березняки"</t>
  </si>
  <si>
    <t xml:space="preserve">                              -  </t>
  </si>
  <si>
    <t>Государственное бюджетное общеобразовательное учреждение Ленинградской области "Волховская школа, реализующая адаптированные образовательные программы"</t>
  </si>
  <si>
    <t xml:space="preserve">                          -    </t>
  </si>
  <si>
    <t>Государственное бюджетное общеобразовательное учреждение Ленинградской области "Сосновоборская школа,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</si>
  <si>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"Волосовская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</si>
  <si>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"Всеволожская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</si>
  <si>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"Ефимовская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</si>
  <si>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"Киришская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</si>
  <si>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"Кировская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</si>
  <si>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"Школа-интернат, реализующая адаптированные образовательные программы, "Красные Зори"</t>
  </si>
  <si>
    <t xml:space="preserve"> Государственное бюджетное общеобразовательное учреждение Ленинградской области "Ларьянская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</si>
  <si>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"Лесобиржская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</si>
  <si>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"Лужская санаторная школа-интернат"</t>
  </si>
  <si>
    <t>Государственное бюджетное общеобразовательное учреждение Ленинградской области "Лужская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</si>
  <si>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"Мгинская школа-интернат, реализующая адаптированные образовательные программы для детей с нарушениями зрения"</t>
  </si>
  <si>
    <t>Государственное бюджетное общеобразовательное учреждение Ленинградской области "Назийский центр социально-трудовой адаптации и профориентации"</t>
  </si>
  <si>
    <t>Государственное бюджетное общеобразовательное учреждение Ленинградской области "Никольская школа-интернат, реализующая адаптированные общеобразовательные программы"</t>
  </si>
  <si>
    <t>Государственное бюджетное общеобразовательное учреждение Ленинградской области "Павловский центр психолого-педагогической реабилитации и коррекции "Логос"</t>
  </si>
  <si>
    <t>Государственное бюджетное общеобразовательное учреждение Ленинградской области "Приморская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</si>
  <si>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"Приозерская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</si>
  <si>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"Подпорожская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</si>
  <si>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"Сиверская школа-интернат, реализующая адаптированные образовательные программы"</t>
  </si>
  <si>
    <t xml:space="preserve">                         -    </t>
  </si>
  <si>
    <t>Государственное бюджетное общеобразовательное учреждение Ленинградской области "Сланцевская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</si>
  <si>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"Сясьстройская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</si>
  <si>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"Тихвинская школа-интернат, реализующая адаптированные образовательные программы"</t>
  </si>
  <si>
    <t>Государственное бюджетное общеобразовательное учреждение Ленинградской области "Юкковская школа-интернат, реализующая адаптированные образовательные программы"</t>
  </si>
  <si>
    <t xml:space="preserve"> Государственное бюджетное общеобразовательное учреждение Ленинградской области "Сланцевское специальное учебно-воспитательное учреждение закрытого типа"</t>
  </si>
  <si>
    <t>Государственное бюджетное учреждение дополнительного образования "Ленинградский областной центр психолого-педагогической, медицинской и социальной помощи"</t>
  </si>
  <si>
    <t>Государственное бюджетное дошкольное образовательное учреждение Ленинградской области "Всеволожский детский сад компенсирующего вида"</t>
  </si>
  <si>
    <t xml:space="preserve"> Государственное бюджетное учреждение дополнительного образования "Ленинградский областной центр развития творчества одаренных детей и юношества "Интеллект"</t>
  </si>
  <si>
    <t>Государственное бюджетное учреждение дополнительного образования "Центр "Ладога"</t>
  </si>
  <si>
    <t xml:space="preserve"> Государственное бюджетное учреждение дополнительного образования "Детский оздоровительно-образовательный центр "Россонь" имени Юрия Антоновича Шадрина</t>
  </si>
  <si>
    <t xml:space="preserve"> Государственное бюджетное учреждение дополнительного образования "Детский оздоровительно-образовательный центр "Маяк"</t>
  </si>
  <si>
    <t xml:space="preserve"> Государственное бюджетное учреждение Ленинградской области "Информационный центр оценки качества образования"</t>
  </si>
  <si>
    <t xml:space="preserve">                                               -    </t>
  </si>
  <si>
    <t xml:space="preserve">                             -     </t>
  </si>
  <si>
    <t>Государственное автономное образовательное учреждение дополнительного профессионального образования "Ленинградский областной институт развития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</si>
</sst>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\ ##0.00\ _₽_-;\-* #\ ##0.00\ _₽_-;_-* &quot;-&quot;??\ _₽_-;_-@_-"/>
    <numFmt numFmtId="165" formatCode="_(* #\ ##0.00_);_(* \(#\ ##0.00\);_(* &quot;-&quot;??_);_(@_)"/>
    <numFmt numFmtId="166" formatCode="0.0%"/>
    <numFmt numFmtId="167" formatCode="#\ ##0.00"/>
    <numFmt numFmtId="168" formatCode="#\ ##0.00_ ;\-#\ ##0.00\ "/>
    <numFmt numFmtId="169" formatCode="#\ ##0.00;[Red]#\ ##0.00"/>
    <numFmt numFmtId="170" formatCode="_-* #\ ##0\ _₽_-;\-* #\ ##0\ _₽_-;_-* &quot;-&quot;??\ _₽_-;_-@_-"/>
    <numFmt numFmtId="171" formatCode="#\ ##0"/>
    <numFmt numFmtId="172" formatCode="_-* #\ ##0\ _₽_-;\-* #\ ##0\ _₽_-;_-* &quot;-&quot;\ _₽_-;_-@_-"/>
    <numFmt numFmtId="173" formatCode="#,##0.00\ _₽"/>
  </numFmts>
  <fonts count="25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8"/>
      <color theme="1"/>
      <name val="Times New Roman"/>
      <charset val="204"/>
    </font>
    <font>
      <sz val="10"/>
      <color theme="1"/>
      <name val="Times New Roman"/>
      <charset val="204"/>
    </font>
    <font>
      <sz val="9"/>
      <name val="Times New Roman"/>
      <charset val="204"/>
    </font>
    <font>
      <sz val="8"/>
      <name val="Times New Roman"/>
      <charset val="204"/>
    </font>
    <font>
      <sz val="10"/>
      <name val="Times New Roman"/>
      <charset val="204"/>
    </font>
    <font>
      <sz val="14"/>
      <color theme="1"/>
      <name val="Times New Roman"/>
      <charset val="204"/>
    </font>
    <font>
      <b/>
      <sz val="10"/>
      <color theme="1"/>
      <name val="Times New Roman"/>
      <charset val="204"/>
    </font>
    <font>
      <sz val="11"/>
      <color rgb="FF0070C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Segoe UI"/>
      <charset val="134"/>
    </font>
    <font>
      <sz val="11"/>
      <name val="Calibri"/>
      <charset val="134"/>
    </font>
    <font>
      <b/>
      <sz val="9"/>
      <name val="Tahoma"/>
      <charset val="204"/>
    </font>
    <font>
      <sz val="9"/>
      <name val="Tahoma"/>
      <charset val="204"/>
    </font>
    <font>
      <sz val="11"/>
      <color theme="1"/>
      <name val="Calibri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/>
    <xf numFmtId="0" fontId="15" fillId="0" borderId="0"/>
    <xf numFmtId="0" fontId="19" fillId="0" borderId="0"/>
    <xf numFmtId="0" fontId="15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9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/>
    <xf numFmtId="164" fontId="1" fillId="2" borderId="0" xfId="0" applyNumberFormat="1" applyFont="1" applyFill="1"/>
    <xf numFmtId="39" fontId="1" fillId="0" borderId="1" xfId="1" applyNumberFormat="1" applyFont="1" applyFill="1" applyBorder="1" applyAlignment="1">
      <alignment horizontal="right" vertical="center"/>
    </xf>
    <xf numFmtId="173" fontId="1" fillId="0" borderId="1" xfId="1" applyNumberFormat="1" applyFont="1" applyFill="1" applyBorder="1" applyAlignment="1">
      <alignment horizontal="right" vertical="center"/>
    </xf>
    <xf numFmtId="173" fontId="22" fillId="0" borderId="1" xfId="10" applyNumberFormat="1" applyFont="1" applyFill="1" applyBorder="1" applyAlignment="1">
      <alignment horizontal="center" vertical="center"/>
    </xf>
    <xf numFmtId="39" fontId="1" fillId="0" borderId="1" xfId="1" applyNumberFormat="1" applyFont="1" applyFill="1" applyBorder="1" applyAlignment="1">
      <alignment vertical="center"/>
    </xf>
    <xf numFmtId="173" fontId="1" fillId="0" borderId="1" xfId="0" applyNumberFormat="1" applyFont="1" applyFill="1" applyBorder="1" applyAlignment="1">
      <alignment horizontal="center" vertical="center" wrapText="1"/>
    </xf>
    <xf numFmtId="173" fontId="1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2" fillId="0" borderId="1" xfId="1" applyFont="1" applyFill="1" applyBorder="1" applyAlignment="1">
      <alignment vertical="center"/>
    </xf>
    <xf numFmtId="10" fontId="2" fillId="0" borderId="1" xfId="2" applyNumberFormat="1" applyFont="1" applyFill="1" applyBorder="1" applyAlignment="1">
      <alignment vertical="center"/>
    </xf>
    <xf numFmtId="166" fontId="2" fillId="0" borderId="1" xfId="2" applyNumberFormat="1" applyFont="1" applyFill="1" applyBorder="1" applyAlignment="1">
      <alignment vertical="center"/>
    </xf>
    <xf numFmtId="173" fontId="22" fillId="0" borderId="1" xfId="1" applyNumberFormat="1" applyFont="1" applyFill="1" applyBorder="1" applyAlignment="1">
      <alignment vertical="center"/>
    </xf>
    <xf numFmtId="173" fontId="22" fillId="0" borderId="1" xfId="0" applyNumberFormat="1" applyFont="1" applyFill="1" applyBorder="1" applyAlignment="1">
      <alignment horizontal="center" vertical="center" wrapText="1"/>
    </xf>
    <xf numFmtId="170" fontId="2" fillId="0" borderId="1" xfId="1" applyNumberFormat="1" applyFont="1" applyFill="1" applyBorder="1" applyAlignment="1">
      <alignment vertical="center"/>
    </xf>
    <xf numFmtId="170" fontId="1" fillId="0" borderId="1" xfId="1" applyNumberFormat="1" applyFont="1" applyFill="1" applyBorder="1" applyAlignment="1">
      <alignment vertical="center"/>
    </xf>
    <xf numFmtId="164" fontId="1" fillId="0" borderId="1" xfId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horizontal="center" vertical="center" wrapText="1"/>
    </xf>
    <xf numFmtId="173" fontId="2" fillId="0" borderId="1" xfId="1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70" fontId="6" fillId="0" borderId="1" xfId="1" applyNumberFormat="1" applyFont="1" applyFill="1" applyBorder="1" applyAlignment="1">
      <alignment vertical="center"/>
    </xf>
    <xf numFmtId="9" fontId="6" fillId="0" borderId="1" xfId="2" applyFont="1" applyFill="1" applyBorder="1" applyAlignment="1">
      <alignment vertical="center"/>
    </xf>
    <xf numFmtId="171" fontId="2" fillId="0" borderId="1" xfId="1" applyNumberFormat="1" applyFont="1" applyFill="1" applyBorder="1" applyAlignment="1">
      <alignment vertical="center"/>
    </xf>
    <xf numFmtId="172" fontId="6" fillId="0" borderId="1" xfId="1" applyNumberFormat="1" applyFont="1" applyFill="1" applyBorder="1" applyAlignment="1">
      <alignment vertical="center"/>
    </xf>
    <xf numFmtId="9" fontId="2" fillId="0" borderId="1" xfId="2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164" fontId="11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9" fontId="2" fillId="0" borderId="1" xfId="1" applyNumberFormat="1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vertical="center"/>
    </xf>
    <xf numFmtId="39" fontId="2" fillId="0" borderId="1" xfId="1" applyNumberFormat="1" applyFont="1" applyFill="1" applyBorder="1" applyAlignment="1">
      <alignment horizontal="center" vertical="center" wrapText="1"/>
    </xf>
    <xf numFmtId="173" fontId="22" fillId="0" borderId="1" xfId="1" applyNumberFormat="1" applyFont="1" applyFill="1" applyBorder="1" applyAlignment="1">
      <alignment horizontal="center" vertical="center" wrapText="1"/>
    </xf>
    <xf numFmtId="170" fontId="2" fillId="0" borderId="1" xfId="1" applyNumberFormat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vertical="center"/>
    </xf>
    <xf numFmtId="164" fontId="6" fillId="0" borderId="1" xfId="1" applyFont="1" applyFill="1" applyBorder="1" applyAlignment="1">
      <alignment vertical="center"/>
    </xf>
    <xf numFmtId="173" fontId="22" fillId="0" borderId="1" xfId="1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8" fontId="2" fillId="0" borderId="1" xfId="1" applyNumberFormat="1" applyFont="1" applyFill="1" applyBorder="1" applyAlignment="1">
      <alignment vertical="center"/>
    </xf>
    <xf numFmtId="39" fontId="6" fillId="0" borderId="1" xfId="1" applyNumberFormat="1" applyFont="1" applyFill="1" applyBorder="1" applyAlignment="1">
      <alignment vertical="center"/>
    </xf>
    <xf numFmtId="173" fontId="6" fillId="0" borderId="1" xfId="1" applyNumberFormat="1" applyFont="1" applyFill="1" applyBorder="1" applyAlignment="1">
      <alignment vertical="center"/>
    </xf>
    <xf numFmtId="173" fontId="23" fillId="0" borderId="1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67" fontId="6" fillId="0" borderId="1" xfId="1" applyNumberFormat="1" applyFont="1" applyFill="1" applyBorder="1" applyAlignment="1">
      <alignment vertical="center"/>
    </xf>
    <xf numFmtId="10" fontId="1" fillId="0" borderId="1" xfId="2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vertical="center"/>
    </xf>
    <xf numFmtId="166" fontId="1" fillId="0" borderId="1" xfId="2" applyNumberFormat="1" applyFont="1" applyFill="1" applyBorder="1" applyAlignment="1">
      <alignment vertical="center"/>
    </xf>
    <xf numFmtId="167" fontId="1" fillId="0" borderId="1" xfId="1" applyNumberFormat="1" applyFont="1" applyFill="1" applyBorder="1" applyAlignment="1">
      <alignment vertical="center"/>
    </xf>
    <xf numFmtId="170" fontId="9" fillId="0" borderId="1" xfId="1" applyNumberFormat="1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171" fontId="1" fillId="0" borderId="1" xfId="1" applyNumberFormat="1" applyFont="1" applyFill="1" applyBorder="1" applyAlignment="1">
      <alignment vertical="center"/>
    </xf>
    <xf numFmtId="169" fontId="2" fillId="0" borderId="1" xfId="1" applyNumberFormat="1" applyFont="1" applyFill="1" applyBorder="1" applyAlignment="1">
      <alignment vertical="center"/>
    </xf>
    <xf numFmtId="164" fontId="2" fillId="0" borderId="1" xfId="1" applyFont="1" applyFill="1" applyBorder="1"/>
    <xf numFmtId="167" fontId="2" fillId="0" borderId="1" xfId="0" applyNumberFormat="1" applyFont="1" applyFill="1" applyBorder="1"/>
    <xf numFmtId="173" fontId="2" fillId="0" borderId="1" xfId="1" applyNumberFormat="1" applyFont="1" applyFill="1" applyBorder="1"/>
    <xf numFmtId="173" fontId="22" fillId="0" borderId="1" xfId="0" applyNumberFormat="1" applyFont="1" applyFill="1" applyBorder="1"/>
    <xf numFmtId="173" fontId="22" fillId="0" borderId="1" xfId="1" applyNumberFormat="1" applyFont="1" applyFill="1" applyBorder="1"/>
    <xf numFmtId="10" fontId="2" fillId="0" borderId="1" xfId="2" applyNumberFormat="1" applyFont="1" applyFill="1" applyBorder="1"/>
    <xf numFmtId="39" fontId="2" fillId="0" borderId="1" xfId="1" applyNumberFormat="1" applyFont="1" applyFill="1" applyBorder="1"/>
    <xf numFmtId="173" fontId="2" fillId="0" borderId="1" xfId="0" applyNumberFormat="1" applyFont="1" applyFill="1" applyBorder="1"/>
    <xf numFmtId="173" fontId="12" fillId="0" borderId="1" xfId="0" applyNumberFormat="1" applyFont="1" applyFill="1" applyBorder="1"/>
    <xf numFmtId="173" fontId="12" fillId="0" borderId="1" xfId="1" applyNumberFormat="1" applyFont="1" applyFill="1" applyBorder="1"/>
    <xf numFmtId="166" fontId="2" fillId="0" borderId="1" xfId="2" applyNumberFormat="1" applyFont="1" applyFill="1" applyBorder="1"/>
    <xf numFmtId="170" fontId="2" fillId="0" borderId="1" xfId="1" applyNumberFormat="1" applyFont="1" applyFill="1" applyBorder="1"/>
  </cellXfs>
  <cellStyles count="11">
    <cellStyle name="Гиперссылка 2" xfId="3"/>
    <cellStyle name="Обычный" xfId="0" builtinId="0"/>
    <cellStyle name="Обычный 2" xfId="4"/>
    <cellStyle name="Обычный 3" xfId="5"/>
    <cellStyle name="Обычный 3 2" xfId="6"/>
    <cellStyle name="Обычный 4" xfId="7"/>
    <cellStyle name="Процентный" xfId="2" builtinId="5"/>
    <cellStyle name="Процентный 2" xfId="8"/>
    <cellStyle name="Финансовый" xfId="1" builtinId="3"/>
    <cellStyle name="Финансовый 2" xfId="9"/>
    <cellStyle name="Финансовый 3" xfId="10"/>
  </cellStyles>
  <dxfs count="0"/>
  <tableStyles count="0" defaultTableStyle="TableStyleMedium2" defaultPivotStyle="PivotStyleLight16"/>
  <colors>
    <mruColors>
      <color rgb="FFFECC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_boytsova\AppData\Local\Microsoft\Windows\INetCache\Content.Outlook\LDLAIPZ2\19%20&#1055;&#1086;&#1076;&#1087;&#1086;&#1088;&#1086;&#1078;&#1089;&#1082;&#1072;&#1103;\&#1055;&#1086;&#1076;&#1087;&#1086;&#1088;&#1086;&#1078;&#1089;&#1082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учреждений"/>
    </sheetNames>
    <sheetDataSet>
      <sheetData sheetId="0">
        <row r="6">
          <cell r="H6">
            <v>65377</v>
          </cell>
        </row>
        <row r="114">
          <cell r="H114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D70"/>
  <sheetViews>
    <sheetView tabSelected="1" zoomScale="80" zoomScaleNormal="80" workbookViewId="0">
      <pane xSplit="4" ySplit="7" topLeftCell="E8" activePane="bottomRight" state="frozen"/>
      <selection pane="topRight"/>
      <selection pane="bottomLeft"/>
      <selection pane="bottomRight" activeCell="X9" sqref="X9"/>
    </sheetView>
  </sheetViews>
  <sheetFormatPr defaultColWidth="9.140625" defaultRowHeight="15" outlineLevelCol="1"/>
  <cols>
    <col min="1" max="1" width="3.42578125" style="2" customWidth="1"/>
    <col min="2" max="2" width="5.7109375" style="2" customWidth="1"/>
    <col min="3" max="3" width="12.85546875" style="2" customWidth="1"/>
    <col min="4" max="4" width="25.7109375" style="2" customWidth="1"/>
    <col min="5" max="5" width="8.5703125" style="2" customWidth="1" outlineLevel="1"/>
    <col min="6" max="6" width="12.140625" style="2" bestFit="1" customWidth="1" outlineLevel="1"/>
    <col min="7" max="8" width="19.5703125" style="2" customWidth="1" outlineLevel="1"/>
    <col min="9" max="9" width="9" style="2" customWidth="1" outlineLevel="1"/>
    <col min="10" max="10" width="12.5703125" style="2" customWidth="1" outlineLevel="1"/>
    <col min="11" max="12" width="21.7109375" style="2" bestFit="1" customWidth="1" outlineLevel="1"/>
    <col min="13" max="13" width="9.140625" style="2" customWidth="1" outlineLevel="1"/>
    <col min="14" max="14" width="12" style="2" customWidth="1" outlineLevel="1"/>
    <col min="15" max="15" width="19.42578125" style="2" bestFit="1" customWidth="1" outlineLevel="1"/>
    <col min="16" max="16" width="20.140625" style="2" bestFit="1" customWidth="1" outlineLevel="1"/>
    <col min="17" max="17" width="8.7109375" style="2" bestFit="1" customWidth="1" outlineLevel="1"/>
    <col min="18" max="18" width="11.28515625" style="2" customWidth="1" outlineLevel="1"/>
    <col min="19" max="19" width="19.28515625" style="2" customWidth="1" outlineLevel="1"/>
    <col min="20" max="20" width="20.140625" style="2" bestFit="1" customWidth="1" outlineLevel="1"/>
    <col min="21" max="21" width="8.7109375" style="2" bestFit="1" customWidth="1"/>
    <col min="22" max="22" width="10.28515625" style="2" customWidth="1"/>
    <col min="23" max="23" width="16.7109375" style="1" customWidth="1"/>
    <col min="24" max="24" width="19.28515625" style="2" bestFit="1" customWidth="1" outlineLevel="1"/>
    <col min="25" max="26" width="17.7109375" style="2" customWidth="1" outlineLevel="1"/>
    <col min="27" max="27" width="16.7109375" style="2" customWidth="1" outlineLevel="1"/>
    <col min="28" max="28" width="19.5703125" style="2" customWidth="1" outlineLevel="1"/>
    <col min="29" max="29" width="11.7109375" style="2" customWidth="1" outlineLevel="1"/>
    <col min="30" max="30" width="10.7109375" style="2" customWidth="1" outlineLevel="1"/>
    <col min="31" max="31" width="17.7109375" style="2" customWidth="1" outlineLevel="1"/>
    <col min="32" max="32" width="20.28515625" style="2" customWidth="1" outlineLevel="1"/>
    <col min="33" max="33" width="9.42578125" style="2" customWidth="1" outlineLevel="1"/>
    <col min="34" max="34" width="8.7109375" style="2" bestFit="1" customWidth="1" outlineLevel="1"/>
    <col min="35" max="35" width="9.42578125" style="2" customWidth="1" outlineLevel="1"/>
    <col min="36" max="36" width="9" style="2" customWidth="1" outlineLevel="1"/>
    <col min="37" max="37" width="7.7109375" style="2" customWidth="1" outlineLevel="1"/>
    <col min="38" max="38" width="6" style="2" customWidth="1" outlineLevel="1"/>
    <col min="39" max="40" width="10.5703125" style="2" customWidth="1" outlineLevel="1"/>
    <col min="41" max="42" width="8.7109375" style="2" bestFit="1" customWidth="1" outlineLevel="1"/>
    <col min="43" max="43" width="17.7109375" style="2" customWidth="1" outlineLevel="1"/>
    <col min="44" max="44" width="19" style="2" customWidth="1" outlineLevel="1"/>
    <col min="45" max="45" width="9.42578125" style="2" customWidth="1" outlineLevel="1"/>
    <col min="46" max="46" width="9.28515625" style="2" customWidth="1" outlineLevel="1"/>
    <col min="47" max="47" width="18" style="2" bestFit="1" customWidth="1" outlineLevel="1"/>
    <col min="48" max="48" width="18.5703125" style="2" customWidth="1" outlineLevel="1"/>
    <col min="49" max="49" width="10" style="2" customWidth="1" outlineLevel="1"/>
    <col min="50" max="50" width="12.140625" style="2" customWidth="1" outlineLevel="1"/>
    <col min="51" max="51" width="19.5703125" style="2" bestFit="1" customWidth="1" outlineLevel="1"/>
    <col min="52" max="52" width="18.85546875" style="2" customWidth="1" outlineLevel="1"/>
    <col min="53" max="53" width="9" style="2" customWidth="1" outlineLevel="1"/>
    <col min="54" max="54" width="18.28515625" style="2" customWidth="1" outlineLevel="1"/>
    <col min="55" max="55" width="17" style="2" customWidth="1" outlineLevel="1"/>
    <col min="56" max="56" width="8.85546875" style="2" customWidth="1" outlineLevel="1"/>
    <col min="57" max="57" width="8.5703125" style="2" customWidth="1" outlineLevel="1"/>
    <col min="58" max="58" width="18.5703125" style="2" customWidth="1" outlineLevel="1"/>
    <col min="59" max="59" width="22.7109375" style="2" customWidth="1" outlineLevel="1"/>
    <col min="60" max="60" width="8.5703125" style="2" customWidth="1" outlineLevel="1"/>
    <col min="61" max="61" width="15.5703125" style="2" customWidth="1" outlineLevel="1"/>
    <col min="62" max="62" width="20.42578125" style="2" customWidth="1" outlineLevel="1"/>
    <col min="63" max="63" width="8.5703125" style="2" customWidth="1" outlineLevel="1"/>
    <col min="64" max="64" width="8.28515625" style="2" customWidth="1" outlineLevel="1"/>
    <col min="65" max="65" width="29.85546875" style="2" customWidth="1" outlineLevel="1"/>
    <col min="66" max="66" width="19.5703125" style="2" customWidth="1" outlineLevel="1"/>
    <col min="67" max="67" width="16.7109375" style="2" customWidth="1" outlineLevel="1"/>
    <col min="68" max="68" width="17.7109375" style="2" customWidth="1" outlineLevel="1"/>
    <col min="69" max="69" width="9.42578125" style="2" customWidth="1" outlineLevel="1"/>
    <col min="70" max="70" width="8.5703125" style="2" customWidth="1" outlineLevel="1"/>
    <col min="71" max="71" width="19.5703125" style="2" customWidth="1" outlineLevel="1"/>
    <col min="72" max="72" width="10" style="2" customWidth="1" outlineLevel="1"/>
    <col min="73" max="73" width="10.5703125" style="2" customWidth="1" outlineLevel="1"/>
    <col min="74" max="74" width="12.5703125" style="2" customWidth="1" outlineLevel="1"/>
    <col min="75" max="75" width="9.42578125" style="2" customWidth="1" outlineLevel="1"/>
    <col min="76" max="76" width="8.28515625" style="2" customWidth="1" outlineLevel="1"/>
    <col min="77" max="77" width="20.42578125" style="2" customWidth="1" outlineLevel="1"/>
    <col min="78" max="78" width="24.85546875" style="2" bestFit="1" customWidth="1" outlineLevel="1"/>
    <col min="79" max="79" width="7.7109375" style="2" customWidth="1" outlineLevel="1"/>
    <col min="80" max="80" width="7.140625" style="2" customWidth="1" outlineLevel="1"/>
    <col min="81" max="83" width="10.5703125" style="2" customWidth="1" outlineLevel="1"/>
    <col min="84" max="84" width="9.7109375" style="2" customWidth="1" outlineLevel="1"/>
    <col min="85" max="85" width="7.7109375" style="2" customWidth="1" outlineLevel="1"/>
    <col min="86" max="86" width="19.140625" style="2" customWidth="1" outlineLevel="1"/>
    <col min="87" max="87" width="14.42578125" style="2" customWidth="1" outlineLevel="1"/>
    <col min="88" max="88" width="9.5703125" style="2" customWidth="1"/>
    <col min="89" max="89" width="14.42578125" style="2" customWidth="1"/>
    <col min="90" max="90" width="9.42578125" style="2" customWidth="1"/>
    <col min="91" max="92" width="10" style="2" customWidth="1"/>
    <col min="93" max="93" width="12" style="2" customWidth="1"/>
    <col min="94" max="94" width="10.42578125" style="2" customWidth="1"/>
    <col min="95" max="95" width="9.5703125" style="2" customWidth="1"/>
    <col min="96" max="96" width="18.28515625" style="2" customWidth="1"/>
    <col min="97" max="97" width="10.140625" style="2" customWidth="1" outlineLevel="1"/>
    <col min="98" max="98" width="10" style="2" customWidth="1" outlineLevel="1"/>
    <col min="99" max="99" width="7.140625" style="2" customWidth="1" outlineLevel="1"/>
    <col min="100" max="100" width="10" style="2" customWidth="1" outlineLevel="1"/>
    <col min="101" max="101" width="13.5703125" style="2" customWidth="1" outlineLevel="1"/>
    <col min="102" max="102" width="13.42578125" style="2" customWidth="1" outlineLevel="1"/>
    <col min="103" max="103" width="12.140625" style="2" customWidth="1" outlineLevel="1"/>
    <col min="104" max="104" width="16.7109375" style="2" customWidth="1" outlineLevel="1"/>
    <col min="105" max="105" width="20.28515625" style="2" customWidth="1" outlineLevel="1"/>
    <col min="106" max="106" width="11.140625" style="2" customWidth="1" outlineLevel="1"/>
    <col min="107" max="107" width="12.42578125" style="2" customWidth="1" outlineLevel="1"/>
    <col min="108" max="109" width="17.7109375" style="2" customWidth="1" outlineLevel="1"/>
    <col min="110" max="110" width="11.5703125" style="2" customWidth="1" outlineLevel="1"/>
    <col min="111" max="111" width="8.5703125" style="2" customWidth="1" outlineLevel="1"/>
    <col min="112" max="112" width="11.140625" style="2" customWidth="1" outlineLevel="1"/>
    <col min="113" max="113" width="19.28515625" style="2" customWidth="1" outlineLevel="1"/>
    <col min="114" max="114" width="10.7109375" style="2" customWidth="1" outlineLevel="1"/>
    <col min="115" max="115" width="10.5703125" style="2" customWidth="1" outlineLevel="1"/>
    <col min="116" max="116" width="8.5703125" style="2" customWidth="1" outlineLevel="1"/>
    <col min="117" max="117" width="9.7109375" style="2" customWidth="1" outlineLevel="1"/>
    <col min="118" max="118" width="9.5703125" style="2" bestFit="1" customWidth="1" outlineLevel="1"/>
    <col min="119" max="119" width="15.140625" style="2" bestFit="1" customWidth="1" outlineLevel="1"/>
    <col min="120" max="120" width="11.5703125" style="2" bestFit="1" customWidth="1" outlineLevel="1"/>
    <col min="121" max="121" width="10" style="2" customWidth="1" outlineLevel="1"/>
    <col min="122" max="122" width="8.5703125" style="2" customWidth="1" outlineLevel="1"/>
    <col min="123" max="124" width="12.7109375" style="2" bestFit="1" customWidth="1" outlineLevel="1"/>
    <col min="125" max="125" width="10.7109375" style="2" customWidth="1"/>
    <col min="126" max="126" width="8.5703125" style="2" customWidth="1"/>
    <col min="127" max="127" width="16.28515625" style="2" customWidth="1"/>
    <col min="128" max="16384" width="9.140625" style="2"/>
  </cols>
  <sheetData>
    <row r="1" spans="1:160" ht="15" customHeight="1">
      <c r="A1" s="12"/>
      <c r="B1" s="13"/>
      <c r="C1" s="14" t="s">
        <v>0</v>
      </c>
      <c r="D1" s="14" t="s">
        <v>1</v>
      </c>
      <c r="E1" s="14" t="s">
        <v>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 t="s">
        <v>3</v>
      </c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 t="s">
        <v>4</v>
      </c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 t="s">
        <v>5</v>
      </c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 t="s">
        <v>6</v>
      </c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5" t="s">
        <v>7</v>
      </c>
      <c r="DV1" s="15" t="s">
        <v>8</v>
      </c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</row>
    <row r="2" spans="1:160" ht="60.75" customHeight="1">
      <c r="A2" s="12"/>
      <c r="B2" s="13"/>
      <c r="C2" s="14"/>
      <c r="D2" s="14"/>
      <c r="E2" s="14" t="s">
        <v>9</v>
      </c>
      <c r="F2" s="14"/>
      <c r="G2" s="14"/>
      <c r="H2" s="14"/>
      <c r="I2" s="14" t="s">
        <v>10</v>
      </c>
      <c r="J2" s="14"/>
      <c r="K2" s="14"/>
      <c r="L2" s="14"/>
      <c r="M2" s="14" t="s">
        <v>11</v>
      </c>
      <c r="N2" s="14"/>
      <c r="O2" s="14"/>
      <c r="P2" s="14"/>
      <c r="Q2" s="14" t="s">
        <v>12</v>
      </c>
      <c r="R2" s="14"/>
      <c r="S2" s="14"/>
      <c r="T2" s="14"/>
      <c r="U2" s="14" t="s">
        <v>13</v>
      </c>
      <c r="V2" s="14"/>
      <c r="W2" s="14"/>
      <c r="X2" s="14"/>
      <c r="Y2" s="14"/>
      <c r="Z2" s="14"/>
      <c r="AA2" s="14"/>
      <c r="AB2" s="14"/>
      <c r="AC2" s="14" t="s">
        <v>14</v>
      </c>
      <c r="AD2" s="14"/>
      <c r="AE2" s="14"/>
      <c r="AF2" s="14"/>
      <c r="AG2" s="14" t="s">
        <v>15</v>
      </c>
      <c r="AH2" s="14"/>
      <c r="AI2" s="14"/>
      <c r="AJ2" s="14"/>
      <c r="AK2" s="14" t="s">
        <v>16</v>
      </c>
      <c r="AL2" s="14"/>
      <c r="AM2" s="14"/>
      <c r="AN2" s="14"/>
      <c r="AO2" s="14" t="s">
        <v>17</v>
      </c>
      <c r="AP2" s="14"/>
      <c r="AQ2" s="14"/>
      <c r="AR2" s="14"/>
      <c r="AS2" s="14" t="s">
        <v>18</v>
      </c>
      <c r="AT2" s="14"/>
      <c r="AU2" s="14"/>
      <c r="AV2" s="14"/>
      <c r="AW2" s="14" t="s">
        <v>19</v>
      </c>
      <c r="AX2" s="14"/>
      <c r="AY2" s="14"/>
      <c r="AZ2" s="14"/>
      <c r="BA2" s="14" t="s">
        <v>20</v>
      </c>
      <c r="BB2" s="14"/>
      <c r="BC2" s="14"/>
      <c r="BD2" s="14" t="s">
        <v>21</v>
      </c>
      <c r="BE2" s="14"/>
      <c r="BF2" s="14"/>
      <c r="BG2" s="14"/>
      <c r="BH2" s="14" t="s">
        <v>22</v>
      </c>
      <c r="BI2" s="14"/>
      <c r="BJ2" s="14"/>
      <c r="BK2" s="14" t="s">
        <v>23</v>
      </c>
      <c r="BL2" s="14"/>
      <c r="BM2" s="14"/>
      <c r="BN2" s="14"/>
      <c r="BO2" s="14"/>
      <c r="BP2" s="14"/>
      <c r="BQ2" s="14" t="s">
        <v>24</v>
      </c>
      <c r="BR2" s="14"/>
      <c r="BS2" s="14"/>
      <c r="BT2" s="14"/>
      <c r="BU2" s="14"/>
      <c r="BV2" s="14"/>
      <c r="BW2" s="14" t="s">
        <v>25</v>
      </c>
      <c r="BX2" s="14"/>
      <c r="BY2" s="14"/>
      <c r="BZ2" s="14"/>
      <c r="CA2" s="14" t="s">
        <v>26</v>
      </c>
      <c r="CB2" s="14"/>
      <c r="CC2" s="14"/>
      <c r="CD2" s="14"/>
      <c r="CE2" s="14"/>
      <c r="CF2" s="14" t="s">
        <v>27</v>
      </c>
      <c r="CG2" s="14"/>
      <c r="CH2" s="14"/>
      <c r="CI2" s="14"/>
      <c r="CJ2" s="14" t="s">
        <v>28</v>
      </c>
      <c r="CK2" s="14"/>
      <c r="CL2" s="14" t="s">
        <v>29</v>
      </c>
      <c r="CM2" s="14"/>
      <c r="CN2" s="14"/>
      <c r="CO2" s="14" t="s">
        <v>30</v>
      </c>
      <c r="CP2" s="14"/>
      <c r="CQ2" s="14" t="s">
        <v>31</v>
      </c>
      <c r="CR2" s="14"/>
      <c r="CS2" s="14" t="s">
        <v>32</v>
      </c>
      <c r="CT2" s="14"/>
      <c r="CU2" s="14"/>
      <c r="CV2" s="14" t="s">
        <v>32</v>
      </c>
      <c r="CW2" s="14"/>
      <c r="CX2" s="14"/>
      <c r="CY2" s="14" t="s">
        <v>33</v>
      </c>
      <c r="CZ2" s="14"/>
      <c r="DA2" s="14"/>
      <c r="DB2" s="14" t="s">
        <v>34</v>
      </c>
      <c r="DC2" s="14"/>
      <c r="DD2" s="14"/>
      <c r="DE2" s="14"/>
      <c r="DF2" s="14" t="s">
        <v>35</v>
      </c>
      <c r="DG2" s="14"/>
      <c r="DH2" s="14"/>
      <c r="DI2" s="14"/>
      <c r="DJ2" s="14" t="s">
        <v>36</v>
      </c>
      <c r="DK2" s="14"/>
      <c r="DL2" s="14"/>
      <c r="DM2" s="14" t="s">
        <v>37</v>
      </c>
      <c r="DN2" s="14"/>
      <c r="DO2" s="14"/>
      <c r="DP2" s="14"/>
      <c r="DQ2" s="14" t="s">
        <v>38</v>
      </c>
      <c r="DR2" s="14"/>
      <c r="DS2" s="14"/>
      <c r="DT2" s="14"/>
      <c r="DU2" s="16"/>
      <c r="DV2" s="16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</row>
    <row r="3" spans="1:160" ht="95.25" customHeight="1">
      <c r="A3" s="12"/>
      <c r="B3" s="13"/>
      <c r="C3" s="14"/>
      <c r="D3" s="14"/>
      <c r="E3" s="17" t="s">
        <v>39</v>
      </c>
      <c r="F3" s="18" t="s">
        <v>40</v>
      </c>
      <c r="G3" s="19" t="s">
        <v>41</v>
      </c>
      <c r="H3" s="19" t="s">
        <v>42</v>
      </c>
      <c r="I3" s="17" t="s">
        <v>43</v>
      </c>
      <c r="J3" s="18" t="s">
        <v>40</v>
      </c>
      <c r="K3" s="19" t="s">
        <v>44</v>
      </c>
      <c r="L3" s="19" t="s">
        <v>45</v>
      </c>
      <c r="M3" s="17" t="s">
        <v>46</v>
      </c>
      <c r="N3" s="18" t="s">
        <v>40</v>
      </c>
      <c r="O3" s="19" t="s">
        <v>47</v>
      </c>
      <c r="P3" s="19" t="s">
        <v>48</v>
      </c>
      <c r="Q3" s="17" t="s">
        <v>49</v>
      </c>
      <c r="R3" s="18" t="s">
        <v>40</v>
      </c>
      <c r="S3" s="19" t="s">
        <v>44</v>
      </c>
      <c r="T3" s="19" t="s">
        <v>50</v>
      </c>
      <c r="U3" s="17" t="s">
        <v>51</v>
      </c>
      <c r="V3" s="18" t="s">
        <v>40</v>
      </c>
      <c r="W3" s="20" t="s">
        <v>52</v>
      </c>
      <c r="X3" s="19" t="s">
        <v>53</v>
      </c>
      <c r="Y3" s="19" t="s">
        <v>54</v>
      </c>
      <c r="Z3" s="19" t="s">
        <v>55</v>
      </c>
      <c r="AA3" s="19" t="s">
        <v>56</v>
      </c>
      <c r="AB3" s="19" t="s">
        <v>57</v>
      </c>
      <c r="AC3" s="17" t="s">
        <v>58</v>
      </c>
      <c r="AD3" s="19"/>
      <c r="AE3" s="19" t="s">
        <v>59</v>
      </c>
      <c r="AF3" s="19" t="s">
        <v>60</v>
      </c>
      <c r="AG3" s="17" t="s">
        <v>61</v>
      </c>
      <c r="AH3" s="19"/>
      <c r="AI3" s="19" t="s">
        <v>62</v>
      </c>
      <c r="AJ3" s="19" t="s">
        <v>63</v>
      </c>
      <c r="AK3" s="17" t="s">
        <v>64</v>
      </c>
      <c r="AL3" s="19"/>
      <c r="AM3" s="19" t="s">
        <v>65</v>
      </c>
      <c r="AN3" s="19" t="s">
        <v>66</v>
      </c>
      <c r="AO3" s="17" t="s">
        <v>67</v>
      </c>
      <c r="AP3" s="19"/>
      <c r="AQ3" s="19" t="s">
        <v>68</v>
      </c>
      <c r="AR3" s="19" t="s">
        <v>69</v>
      </c>
      <c r="AS3" s="17" t="s">
        <v>70</v>
      </c>
      <c r="AT3" s="19"/>
      <c r="AU3" s="19" t="s">
        <v>71</v>
      </c>
      <c r="AV3" s="19" t="s">
        <v>72</v>
      </c>
      <c r="AW3" s="17" t="s">
        <v>73</v>
      </c>
      <c r="AX3" s="19"/>
      <c r="AY3" s="19" t="s">
        <v>74</v>
      </c>
      <c r="AZ3" s="19" t="s">
        <v>75</v>
      </c>
      <c r="BA3" s="17" t="s">
        <v>76</v>
      </c>
      <c r="BB3" s="19" t="s">
        <v>77</v>
      </c>
      <c r="BC3" s="19" t="s">
        <v>78</v>
      </c>
      <c r="BD3" s="17" t="s">
        <v>79</v>
      </c>
      <c r="BE3" s="19"/>
      <c r="BF3" s="19" t="s">
        <v>80</v>
      </c>
      <c r="BG3" s="19" t="s">
        <v>81</v>
      </c>
      <c r="BH3" s="17" t="s">
        <v>82</v>
      </c>
      <c r="BI3" s="19" t="s">
        <v>83</v>
      </c>
      <c r="BJ3" s="19" t="s">
        <v>84</v>
      </c>
      <c r="BK3" s="17" t="s">
        <v>85</v>
      </c>
      <c r="BL3" s="19"/>
      <c r="BM3" s="19" t="s">
        <v>86</v>
      </c>
      <c r="BN3" s="19" t="s">
        <v>87</v>
      </c>
      <c r="BO3" s="19" t="s">
        <v>88</v>
      </c>
      <c r="BP3" s="19" t="s">
        <v>89</v>
      </c>
      <c r="BQ3" s="17" t="s">
        <v>90</v>
      </c>
      <c r="BR3" s="19"/>
      <c r="BS3" s="19" t="s">
        <v>91</v>
      </c>
      <c r="BT3" s="19" t="s">
        <v>92</v>
      </c>
      <c r="BU3" s="19" t="s">
        <v>93</v>
      </c>
      <c r="BV3" s="19" t="s">
        <v>94</v>
      </c>
      <c r="BW3" s="17" t="s">
        <v>95</v>
      </c>
      <c r="BX3" s="19"/>
      <c r="BY3" s="19" t="s">
        <v>96</v>
      </c>
      <c r="BZ3" s="19" t="s">
        <v>97</v>
      </c>
      <c r="CA3" s="17" t="s">
        <v>98</v>
      </c>
      <c r="CB3" s="19"/>
      <c r="CC3" s="19" t="s">
        <v>99</v>
      </c>
      <c r="CD3" s="19" t="s">
        <v>100</v>
      </c>
      <c r="CE3" s="19" t="s">
        <v>101</v>
      </c>
      <c r="CF3" s="17" t="s">
        <v>102</v>
      </c>
      <c r="CG3" s="19"/>
      <c r="CH3" s="19" t="s">
        <v>103</v>
      </c>
      <c r="CI3" s="19" t="s">
        <v>104</v>
      </c>
      <c r="CJ3" s="17" t="s">
        <v>105</v>
      </c>
      <c r="CK3" s="19" t="s">
        <v>106</v>
      </c>
      <c r="CL3" s="17" t="s">
        <v>107</v>
      </c>
      <c r="CM3" s="19" t="s">
        <v>108</v>
      </c>
      <c r="CN3" s="19" t="s">
        <v>109</v>
      </c>
      <c r="CO3" s="17" t="s">
        <v>110</v>
      </c>
      <c r="CP3" s="19" t="s">
        <v>111</v>
      </c>
      <c r="CQ3" s="17" t="s">
        <v>112</v>
      </c>
      <c r="CR3" s="19" t="s">
        <v>113</v>
      </c>
      <c r="CS3" s="17" t="s">
        <v>114</v>
      </c>
      <c r="CT3" s="19" t="s">
        <v>115</v>
      </c>
      <c r="CU3" s="19" t="s">
        <v>116</v>
      </c>
      <c r="CV3" s="17" t="s">
        <v>117</v>
      </c>
      <c r="CW3" s="19" t="s">
        <v>118</v>
      </c>
      <c r="CX3" s="19" t="s">
        <v>119</v>
      </c>
      <c r="CY3" s="17" t="s">
        <v>120</v>
      </c>
      <c r="CZ3" s="19" t="s">
        <v>121</v>
      </c>
      <c r="DA3" s="19" t="s">
        <v>122</v>
      </c>
      <c r="DB3" s="17" t="s">
        <v>123</v>
      </c>
      <c r="DC3" s="19"/>
      <c r="DD3" s="19" t="s">
        <v>124</v>
      </c>
      <c r="DE3" s="19" t="s">
        <v>125</v>
      </c>
      <c r="DF3" s="17" t="s">
        <v>126</v>
      </c>
      <c r="DG3" s="19"/>
      <c r="DH3" s="19" t="s">
        <v>127</v>
      </c>
      <c r="DI3" s="19" t="s">
        <v>128</v>
      </c>
      <c r="DJ3" s="17" t="s">
        <v>129</v>
      </c>
      <c r="DK3" s="19" t="s">
        <v>130</v>
      </c>
      <c r="DL3" s="19"/>
      <c r="DM3" s="17" t="s">
        <v>131</v>
      </c>
      <c r="DN3" s="19"/>
      <c r="DO3" s="19" t="s">
        <v>132</v>
      </c>
      <c r="DP3" s="19" t="s">
        <v>133</v>
      </c>
      <c r="DQ3" s="17" t="s">
        <v>134</v>
      </c>
      <c r="DR3" s="19"/>
      <c r="DS3" s="19" t="s">
        <v>135</v>
      </c>
      <c r="DT3" s="19" t="s">
        <v>136</v>
      </c>
      <c r="DU3" s="16"/>
      <c r="DV3" s="16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</row>
    <row r="4" spans="1:160" ht="96">
      <c r="A4" s="12"/>
      <c r="B4" s="13"/>
      <c r="C4" s="18" t="s">
        <v>137</v>
      </c>
      <c r="D4" s="18"/>
      <c r="E4" s="19"/>
      <c r="F4" s="18"/>
      <c r="G4" s="19" t="s">
        <v>138</v>
      </c>
      <c r="H4" s="19" t="s">
        <v>139</v>
      </c>
      <c r="I4" s="19"/>
      <c r="J4" s="18"/>
      <c r="K4" s="19" t="s">
        <v>138</v>
      </c>
      <c r="L4" s="19" t="s">
        <v>139</v>
      </c>
      <c r="M4" s="19"/>
      <c r="N4" s="18"/>
      <c r="O4" s="19" t="s">
        <v>138</v>
      </c>
      <c r="P4" s="20" t="s">
        <v>140</v>
      </c>
      <c r="Q4" s="19"/>
      <c r="R4" s="18"/>
      <c r="S4" s="19" t="s">
        <v>138</v>
      </c>
      <c r="T4" s="19" t="s">
        <v>141</v>
      </c>
      <c r="U4" s="19"/>
      <c r="V4" s="18"/>
      <c r="W4" s="20" t="s">
        <v>142</v>
      </c>
      <c r="X4" s="18" t="s">
        <v>143</v>
      </c>
      <c r="Y4" s="18"/>
      <c r="Z4" s="18"/>
      <c r="AA4" s="18"/>
      <c r="AB4" s="19" t="s">
        <v>139</v>
      </c>
      <c r="AC4" s="19"/>
      <c r="AD4" s="19"/>
      <c r="AE4" s="19" t="s">
        <v>144</v>
      </c>
      <c r="AF4" s="19" t="s">
        <v>144</v>
      </c>
      <c r="AG4" s="19"/>
      <c r="AH4" s="19"/>
      <c r="AI4" s="19" t="s">
        <v>145</v>
      </c>
      <c r="AJ4" s="19" t="s">
        <v>144</v>
      </c>
      <c r="AK4" s="19"/>
      <c r="AL4" s="19"/>
      <c r="AM4" s="19" t="s">
        <v>145</v>
      </c>
      <c r="AN4" s="19" t="s">
        <v>144</v>
      </c>
      <c r="AO4" s="19"/>
      <c r="AP4" s="19"/>
      <c r="AQ4" s="19" t="s">
        <v>144</v>
      </c>
      <c r="AR4" s="19" t="s">
        <v>144</v>
      </c>
      <c r="AS4" s="19"/>
      <c r="AT4" s="19"/>
      <c r="AU4" s="18" t="s">
        <v>146</v>
      </c>
      <c r="AV4" s="18"/>
      <c r="AW4" s="19"/>
      <c r="AX4" s="19"/>
      <c r="AY4" s="18" t="s">
        <v>146</v>
      </c>
      <c r="AZ4" s="18"/>
      <c r="BA4" s="19"/>
      <c r="BB4" s="18" t="s">
        <v>147</v>
      </c>
      <c r="BC4" s="18"/>
      <c r="BD4" s="19"/>
      <c r="BE4" s="19"/>
      <c r="BF4" s="18" t="s">
        <v>148</v>
      </c>
      <c r="BG4" s="18"/>
      <c r="BH4" s="19"/>
      <c r="BI4" s="18" t="s">
        <v>148</v>
      </c>
      <c r="BJ4" s="18"/>
      <c r="BK4" s="19"/>
      <c r="BL4" s="19"/>
      <c r="BM4" s="18" t="s">
        <v>148</v>
      </c>
      <c r="BN4" s="18"/>
      <c r="BO4" s="18"/>
      <c r="BP4" s="18"/>
      <c r="BQ4" s="19"/>
      <c r="BR4" s="19"/>
      <c r="BS4" s="18" t="s">
        <v>149</v>
      </c>
      <c r="BT4" s="18"/>
      <c r="BU4" s="18"/>
      <c r="BV4" s="18"/>
      <c r="BW4" s="19"/>
      <c r="BX4" s="19"/>
      <c r="BY4" s="19" t="s">
        <v>150</v>
      </c>
      <c r="BZ4" s="21" t="s">
        <v>138</v>
      </c>
      <c r="CA4" s="19"/>
      <c r="CB4" s="19"/>
      <c r="CC4" s="18" t="s">
        <v>151</v>
      </c>
      <c r="CD4" s="18"/>
      <c r="CE4" s="18"/>
      <c r="CF4" s="19"/>
      <c r="CG4" s="19"/>
      <c r="CH4" s="18" t="s">
        <v>150</v>
      </c>
      <c r="CI4" s="18"/>
      <c r="CJ4" s="19"/>
      <c r="CK4" s="21" t="s">
        <v>150</v>
      </c>
      <c r="CL4" s="19"/>
      <c r="CM4" s="18" t="s">
        <v>150</v>
      </c>
      <c r="CN4" s="18"/>
      <c r="CO4" s="19"/>
      <c r="CP4" s="21" t="s">
        <v>150</v>
      </c>
      <c r="CQ4" s="19"/>
      <c r="CR4" s="21" t="s">
        <v>150</v>
      </c>
      <c r="CS4" s="19"/>
      <c r="CT4" s="21" t="s">
        <v>150</v>
      </c>
      <c r="CU4" s="19"/>
      <c r="CV4" s="19"/>
      <c r="CW4" s="21" t="s">
        <v>150</v>
      </c>
      <c r="CX4" s="19"/>
      <c r="CY4" s="19"/>
      <c r="CZ4" s="21" t="s">
        <v>150</v>
      </c>
      <c r="DA4" s="19"/>
      <c r="DB4" s="19"/>
      <c r="DC4" s="19"/>
      <c r="DD4" s="21" t="s">
        <v>150</v>
      </c>
      <c r="DE4" s="21" t="s">
        <v>150</v>
      </c>
      <c r="DF4" s="19"/>
      <c r="DG4" s="19"/>
      <c r="DH4" s="21" t="s">
        <v>150</v>
      </c>
      <c r="DI4" s="21" t="s">
        <v>150</v>
      </c>
      <c r="DJ4" s="19"/>
      <c r="DK4" s="21" t="s">
        <v>150</v>
      </c>
      <c r="DL4" s="19"/>
      <c r="DM4" s="19"/>
      <c r="DN4" s="19"/>
      <c r="DO4" s="21" t="s">
        <v>150</v>
      </c>
      <c r="DP4" s="21" t="s">
        <v>150</v>
      </c>
      <c r="DQ4" s="19"/>
      <c r="DR4" s="19"/>
      <c r="DS4" s="21" t="s">
        <v>150</v>
      </c>
      <c r="DT4" s="21" t="s">
        <v>150</v>
      </c>
      <c r="DU4" s="16"/>
      <c r="DV4" s="16"/>
    </row>
    <row r="5" spans="1:160" ht="30">
      <c r="A5" s="12"/>
      <c r="B5" s="13"/>
      <c r="C5" s="14" t="s">
        <v>152</v>
      </c>
      <c r="D5" s="14"/>
      <c r="E5" s="21"/>
      <c r="F5" s="21"/>
      <c r="G5" s="21" t="s">
        <v>153</v>
      </c>
      <c r="H5" s="21" t="s">
        <v>154</v>
      </c>
      <c r="I5" s="21"/>
      <c r="J5" s="21"/>
      <c r="K5" s="21" t="s">
        <v>153</v>
      </c>
      <c r="L5" s="21" t="s">
        <v>154</v>
      </c>
      <c r="M5" s="21"/>
      <c r="N5" s="21"/>
      <c r="O5" s="21" t="s">
        <v>153</v>
      </c>
      <c r="P5" s="21" t="s">
        <v>154</v>
      </c>
      <c r="Q5" s="21"/>
      <c r="R5" s="21"/>
      <c r="S5" s="21" t="s">
        <v>153</v>
      </c>
      <c r="T5" s="21" t="s">
        <v>154</v>
      </c>
      <c r="U5" s="21"/>
      <c r="V5" s="21"/>
      <c r="W5" s="22" t="s">
        <v>153</v>
      </c>
      <c r="X5" s="21" t="s">
        <v>153</v>
      </c>
      <c r="Y5" s="21" t="s">
        <v>153</v>
      </c>
      <c r="Z5" s="21" t="s">
        <v>153</v>
      </c>
      <c r="AA5" s="21" t="s">
        <v>153</v>
      </c>
      <c r="AB5" s="21" t="s">
        <v>154</v>
      </c>
      <c r="AC5" s="21"/>
      <c r="AD5" s="21"/>
      <c r="AE5" s="21" t="s">
        <v>153</v>
      </c>
      <c r="AF5" s="21" t="s">
        <v>153</v>
      </c>
      <c r="AG5" s="21"/>
      <c r="AH5" s="21"/>
      <c r="AI5" s="21" t="s">
        <v>154</v>
      </c>
      <c r="AJ5" s="21" t="s">
        <v>154</v>
      </c>
      <c r="AK5" s="21"/>
      <c r="AL5" s="21"/>
      <c r="AM5" s="21" t="s">
        <v>154</v>
      </c>
      <c r="AN5" s="21" t="s">
        <v>154</v>
      </c>
      <c r="AO5" s="21"/>
      <c r="AP5" s="21"/>
      <c r="AQ5" s="21" t="s">
        <v>153</v>
      </c>
      <c r="AR5" s="21" t="s">
        <v>153</v>
      </c>
      <c r="AS5" s="21"/>
      <c r="AT5" s="21"/>
      <c r="AU5" s="21" t="s">
        <v>153</v>
      </c>
      <c r="AV5" s="21" t="s">
        <v>153</v>
      </c>
      <c r="AW5" s="21"/>
      <c r="AX5" s="21"/>
      <c r="AY5" s="21" t="s">
        <v>153</v>
      </c>
      <c r="AZ5" s="21" t="s">
        <v>153</v>
      </c>
      <c r="BA5" s="21"/>
      <c r="BB5" s="21" t="s">
        <v>153</v>
      </c>
      <c r="BC5" s="21" t="s">
        <v>153</v>
      </c>
      <c r="BD5" s="21"/>
      <c r="BE5" s="21"/>
      <c r="BF5" s="21" t="s">
        <v>153</v>
      </c>
      <c r="BG5" s="21" t="s">
        <v>153</v>
      </c>
      <c r="BH5" s="21"/>
      <c r="BI5" s="21" t="s">
        <v>153</v>
      </c>
      <c r="BJ5" s="21" t="s">
        <v>153</v>
      </c>
      <c r="BK5" s="21"/>
      <c r="BL5" s="21"/>
      <c r="BM5" s="21" t="s">
        <v>153</v>
      </c>
      <c r="BN5" s="21" t="s">
        <v>153</v>
      </c>
      <c r="BO5" s="21" t="s">
        <v>153</v>
      </c>
      <c r="BP5" s="21" t="s">
        <v>153</v>
      </c>
      <c r="BQ5" s="21"/>
      <c r="BR5" s="21"/>
      <c r="BS5" s="21" t="s">
        <v>154</v>
      </c>
      <c r="BT5" s="21" t="s">
        <v>154</v>
      </c>
      <c r="BU5" s="21" t="s">
        <v>154</v>
      </c>
      <c r="BV5" s="21" t="s">
        <v>154</v>
      </c>
      <c r="BW5" s="21"/>
      <c r="BX5" s="21"/>
      <c r="BY5" s="21" t="s">
        <v>154</v>
      </c>
      <c r="BZ5" s="21" t="s">
        <v>153</v>
      </c>
      <c r="CA5" s="21"/>
      <c r="CB5" s="21"/>
      <c r="CC5" s="21" t="s">
        <v>154</v>
      </c>
      <c r="CD5" s="21" t="s">
        <v>154</v>
      </c>
      <c r="CE5" s="21" t="s">
        <v>154</v>
      </c>
      <c r="CF5" s="21"/>
      <c r="CG5" s="21"/>
      <c r="CH5" s="21" t="s">
        <v>154</v>
      </c>
      <c r="CI5" s="21" t="s">
        <v>154</v>
      </c>
      <c r="CJ5" s="21"/>
      <c r="CK5" s="21" t="s">
        <v>153</v>
      </c>
      <c r="CL5" s="21"/>
      <c r="CM5" s="21" t="s">
        <v>153</v>
      </c>
      <c r="CN5" s="21" t="s">
        <v>153</v>
      </c>
      <c r="CO5" s="21"/>
      <c r="CP5" s="21" t="s">
        <v>153</v>
      </c>
      <c r="CQ5" s="21"/>
      <c r="CR5" s="21" t="s">
        <v>153</v>
      </c>
      <c r="CS5" s="21"/>
      <c r="CT5" s="21" t="s">
        <v>153</v>
      </c>
      <c r="CU5" s="21"/>
      <c r="CV5" s="21"/>
      <c r="CW5" s="21" t="s">
        <v>153</v>
      </c>
      <c r="CX5" s="21"/>
      <c r="CY5" s="21"/>
      <c r="CZ5" s="21" t="s">
        <v>153</v>
      </c>
      <c r="DA5" s="21"/>
      <c r="DB5" s="21"/>
      <c r="DC5" s="21"/>
      <c r="DD5" s="21" t="s">
        <v>153</v>
      </c>
      <c r="DE5" s="21" t="s">
        <v>153</v>
      </c>
      <c r="DF5" s="21"/>
      <c r="DG5" s="21"/>
      <c r="DH5" s="21" t="s">
        <v>153</v>
      </c>
      <c r="DI5" s="21" t="s">
        <v>153</v>
      </c>
      <c r="DJ5" s="21"/>
      <c r="DK5" s="21" t="s">
        <v>154</v>
      </c>
      <c r="DL5" s="21"/>
      <c r="DM5" s="21"/>
      <c r="DN5" s="21"/>
      <c r="DO5" s="21" t="s">
        <v>153</v>
      </c>
      <c r="DP5" s="21" t="s">
        <v>153</v>
      </c>
      <c r="DQ5" s="21"/>
      <c r="DR5" s="21"/>
      <c r="DS5" s="21" t="s">
        <v>153</v>
      </c>
      <c r="DT5" s="21" t="s">
        <v>153</v>
      </c>
      <c r="DU5" s="16"/>
      <c r="DV5" s="16"/>
    </row>
    <row r="6" spans="1:160" ht="15" customHeight="1">
      <c r="A6" s="12"/>
      <c r="B6" s="23"/>
      <c r="C6" s="24" t="s">
        <v>155</v>
      </c>
      <c r="D6" s="25"/>
      <c r="E6" s="26" t="s">
        <v>156</v>
      </c>
      <c r="F6" s="26"/>
      <c r="G6" s="26" t="s">
        <v>157</v>
      </c>
      <c r="H6" s="26" t="s">
        <v>158</v>
      </c>
      <c r="I6" s="26" t="s">
        <v>156</v>
      </c>
      <c r="J6" s="26"/>
      <c r="K6" s="26" t="s">
        <v>157</v>
      </c>
      <c r="L6" s="26" t="s">
        <v>158</v>
      </c>
      <c r="M6" s="26" t="s">
        <v>156</v>
      </c>
      <c r="N6" s="26"/>
      <c r="O6" s="26" t="s">
        <v>157</v>
      </c>
      <c r="P6" s="26" t="s">
        <v>158</v>
      </c>
      <c r="Q6" s="26" t="s">
        <v>156</v>
      </c>
      <c r="R6" s="26"/>
      <c r="S6" s="26" t="s">
        <v>157</v>
      </c>
      <c r="T6" s="26" t="s">
        <v>158</v>
      </c>
      <c r="U6" s="26" t="s">
        <v>156</v>
      </c>
      <c r="V6" s="26"/>
      <c r="W6" s="27" t="s">
        <v>157</v>
      </c>
      <c r="X6" s="26" t="s">
        <v>158</v>
      </c>
      <c r="Y6" s="26"/>
      <c r="Z6" s="26"/>
      <c r="AA6" s="26"/>
      <c r="AB6" s="26"/>
      <c r="AC6" s="26" t="s">
        <v>156</v>
      </c>
      <c r="AD6" s="26"/>
      <c r="AE6" s="26" t="s">
        <v>157</v>
      </c>
      <c r="AF6" s="26" t="s">
        <v>158</v>
      </c>
      <c r="AG6" s="26" t="s">
        <v>156</v>
      </c>
      <c r="AH6" s="26"/>
      <c r="AI6" s="26" t="s">
        <v>157</v>
      </c>
      <c r="AJ6" s="26" t="s">
        <v>158</v>
      </c>
      <c r="AK6" s="26" t="s">
        <v>156</v>
      </c>
      <c r="AL6" s="26"/>
      <c r="AM6" s="26" t="s">
        <v>157</v>
      </c>
      <c r="AN6" s="26" t="s">
        <v>158</v>
      </c>
      <c r="AO6" s="26" t="s">
        <v>156</v>
      </c>
      <c r="AP6" s="26"/>
      <c r="AQ6" s="26" t="s">
        <v>157</v>
      </c>
      <c r="AR6" s="26" t="s">
        <v>158</v>
      </c>
      <c r="AS6" s="26" t="s">
        <v>156</v>
      </c>
      <c r="AT6" s="26"/>
      <c r="AU6" s="26" t="s">
        <v>157</v>
      </c>
      <c r="AV6" s="26" t="s">
        <v>158</v>
      </c>
      <c r="AW6" s="26" t="s">
        <v>156</v>
      </c>
      <c r="AX6" s="26"/>
      <c r="AY6" s="26" t="s">
        <v>157</v>
      </c>
      <c r="AZ6" s="26" t="s">
        <v>158</v>
      </c>
      <c r="BA6" s="26" t="s">
        <v>156</v>
      </c>
      <c r="BB6" s="26" t="s">
        <v>157</v>
      </c>
      <c r="BC6" s="26" t="s">
        <v>158</v>
      </c>
      <c r="BD6" s="26" t="s">
        <v>156</v>
      </c>
      <c r="BE6" s="26"/>
      <c r="BF6" s="26" t="s">
        <v>157</v>
      </c>
      <c r="BG6" s="26" t="s">
        <v>158</v>
      </c>
      <c r="BH6" s="26" t="s">
        <v>156</v>
      </c>
      <c r="BI6" s="26" t="s">
        <v>157</v>
      </c>
      <c r="BJ6" s="26" t="s">
        <v>158</v>
      </c>
      <c r="BK6" s="26" t="s">
        <v>156</v>
      </c>
      <c r="BL6" s="26"/>
      <c r="BM6" s="26" t="s">
        <v>157</v>
      </c>
      <c r="BN6" s="26" t="s">
        <v>158</v>
      </c>
      <c r="BO6" s="26"/>
      <c r="BP6" s="26"/>
      <c r="BQ6" s="26" t="s">
        <v>156</v>
      </c>
      <c r="BR6" s="26"/>
      <c r="BS6" s="26" t="s">
        <v>157</v>
      </c>
      <c r="BT6" s="26" t="s">
        <v>158</v>
      </c>
      <c r="BU6" s="26"/>
      <c r="BV6" s="26"/>
      <c r="BW6" s="26" t="s">
        <v>156</v>
      </c>
      <c r="BX6" s="26"/>
      <c r="BY6" s="26" t="s">
        <v>157</v>
      </c>
      <c r="BZ6" s="26" t="s">
        <v>158</v>
      </c>
      <c r="CA6" s="26" t="s">
        <v>156</v>
      </c>
      <c r="CB6" s="26"/>
      <c r="CC6" s="26" t="s">
        <v>157</v>
      </c>
      <c r="CD6" s="26" t="s">
        <v>158</v>
      </c>
      <c r="CE6" s="26"/>
      <c r="CF6" s="26" t="s">
        <v>156</v>
      </c>
      <c r="CG6" s="26"/>
      <c r="CH6" s="26" t="s">
        <v>157</v>
      </c>
      <c r="CI6" s="26" t="s">
        <v>158</v>
      </c>
      <c r="CJ6" s="26" t="s">
        <v>156</v>
      </c>
      <c r="CK6" s="26"/>
      <c r="CL6" s="26" t="s">
        <v>156</v>
      </c>
      <c r="CM6" s="26" t="s">
        <v>157</v>
      </c>
      <c r="CN6" s="26" t="s">
        <v>158</v>
      </c>
      <c r="CO6" s="26" t="s">
        <v>156</v>
      </c>
      <c r="CP6" s="26"/>
      <c r="CQ6" s="26" t="s">
        <v>156</v>
      </c>
      <c r="CR6" s="26"/>
      <c r="CS6" s="26" t="s">
        <v>156</v>
      </c>
      <c r="CT6" s="26" t="s">
        <v>157</v>
      </c>
      <c r="CU6" s="26" t="s">
        <v>158</v>
      </c>
      <c r="CV6" s="26" t="s">
        <v>156</v>
      </c>
      <c r="CW6" s="26" t="s">
        <v>157</v>
      </c>
      <c r="CX6" s="26" t="s">
        <v>158</v>
      </c>
      <c r="CY6" s="26" t="s">
        <v>156</v>
      </c>
      <c r="CZ6" s="26" t="s">
        <v>157</v>
      </c>
      <c r="DA6" s="26" t="s">
        <v>158</v>
      </c>
      <c r="DB6" s="26" t="s">
        <v>156</v>
      </c>
      <c r="DC6" s="26"/>
      <c r="DD6" s="26" t="s">
        <v>157</v>
      </c>
      <c r="DE6" s="26" t="s">
        <v>158</v>
      </c>
      <c r="DF6" s="26" t="s">
        <v>156</v>
      </c>
      <c r="DG6" s="26"/>
      <c r="DH6" s="26" t="s">
        <v>157</v>
      </c>
      <c r="DI6" s="26" t="s">
        <v>158</v>
      </c>
      <c r="DJ6" s="26" t="s">
        <v>156</v>
      </c>
      <c r="DK6" s="26" t="s">
        <v>157</v>
      </c>
      <c r="DL6" s="26" t="s">
        <v>158</v>
      </c>
      <c r="DM6" s="26" t="s">
        <v>156</v>
      </c>
      <c r="DN6" s="26"/>
      <c r="DO6" s="26" t="s">
        <v>157</v>
      </c>
      <c r="DP6" s="26" t="s">
        <v>158</v>
      </c>
      <c r="DQ6" s="26" t="s">
        <v>156</v>
      </c>
      <c r="DR6" s="26"/>
      <c r="DS6" s="26" t="s">
        <v>157</v>
      </c>
      <c r="DT6" s="26" t="s">
        <v>158</v>
      </c>
      <c r="DU6" s="16"/>
      <c r="DV6" s="16"/>
    </row>
    <row r="7" spans="1:160" ht="15" customHeight="1">
      <c r="A7" s="12"/>
      <c r="B7" s="28"/>
      <c r="C7" s="29"/>
      <c r="D7" s="30"/>
      <c r="E7" s="31">
        <v>3</v>
      </c>
      <c r="F7" s="31"/>
      <c r="G7" s="31">
        <v>98</v>
      </c>
      <c r="H7" s="31">
        <v>90</v>
      </c>
      <c r="I7" s="31">
        <v>3</v>
      </c>
      <c r="J7" s="31"/>
      <c r="K7" s="31">
        <v>98</v>
      </c>
      <c r="L7" s="31">
        <v>90</v>
      </c>
      <c r="M7" s="31">
        <v>3</v>
      </c>
      <c r="N7" s="31"/>
      <c r="O7" s="31">
        <v>95</v>
      </c>
      <c r="P7" s="31">
        <v>75</v>
      </c>
      <c r="Q7" s="31">
        <v>3</v>
      </c>
      <c r="R7" s="31"/>
      <c r="S7" s="31">
        <v>95</v>
      </c>
      <c r="T7" s="31">
        <v>75</v>
      </c>
      <c r="U7" s="31">
        <v>3</v>
      </c>
      <c r="V7" s="31"/>
      <c r="W7" s="32">
        <v>5</v>
      </c>
      <c r="X7" s="31">
        <v>1</v>
      </c>
      <c r="Y7" s="31"/>
      <c r="Z7" s="31"/>
      <c r="AA7" s="31"/>
      <c r="AB7" s="31"/>
      <c r="AC7" s="31">
        <v>3</v>
      </c>
      <c r="AD7" s="31"/>
      <c r="AE7" s="31">
        <v>0</v>
      </c>
      <c r="AF7" s="31">
        <v>1</v>
      </c>
      <c r="AG7" s="31">
        <v>1</v>
      </c>
      <c r="AH7" s="31"/>
      <c r="AI7" s="31">
        <v>30</v>
      </c>
      <c r="AJ7" s="31">
        <v>4</v>
      </c>
      <c r="AK7" s="31">
        <v>1</v>
      </c>
      <c r="AL7" s="31"/>
      <c r="AM7" s="31">
        <v>4</v>
      </c>
      <c r="AN7" s="31">
        <v>0</v>
      </c>
      <c r="AO7" s="31">
        <v>3</v>
      </c>
      <c r="AP7" s="31"/>
      <c r="AQ7" s="31">
        <v>0</v>
      </c>
      <c r="AR7" s="31">
        <v>15</v>
      </c>
      <c r="AS7" s="31">
        <v>2</v>
      </c>
      <c r="AT7" s="31"/>
      <c r="AU7" s="31">
        <v>70</v>
      </c>
      <c r="AV7" s="31">
        <v>30</v>
      </c>
      <c r="AW7" s="31">
        <v>2</v>
      </c>
      <c r="AX7" s="31"/>
      <c r="AY7" s="31">
        <v>10</v>
      </c>
      <c r="AZ7" s="31">
        <v>2</v>
      </c>
      <c r="BA7" s="31">
        <v>2</v>
      </c>
      <c r="BB7" s="31">
        <v>25</v>
      </c>
      <c r="BC7" s="31">
        <v>10</v>
      </c>
      <c r="BD7" s="31"/>
      <c r="BE7" s="31"/>
      <c r="BF7" s="31">
        <v>2</v>
      </c>
      <c r="BG7" s="31">
        <v>0</v>
      </c>
      <c r="BH7" s="31">
        <v>1</v>
      </c>
      <c r="BI7" s="31">
        <v>1</v>
      </c>
      <c r="BJ7" s="31">
        <v>0</v>
      </c>
      <c r="BK7" s="31">
        <v>4</v>
      </c>
      <c r="BL7" s="31"/>
      <c r="BM7" s="31">
        <v>0</v>
      </c>
      <c r="BN7" s="31">
        <v>0.1</v>
      </c>
      <c r="BO7" s="31"/>
      <c r="BP7" s="31"/>
      <c r="BQ7" s="31">
        <v>2</v>
      </c>
      <c r="BR7" s="31"/>
      <c r="BS7" s="31">
        <v>105</v>
      </c>
      <c r="BT7" s="31">
        <v>95</v>
      </c>
      <c r="BU7" s="31"/>
      <c r="BV7" s="31"/>
      <c r="BW7" s="31">
        <v>2</v>
      </c>
      <c r="BX7" s="31"/>
      <c r="BY7" s="31">
        <v>80</v>
      </c>
      <c r="BZ7" s="31">
        <v>70</v>
      </c>
      <c r="CA7" s="31">
        <v>2</v>
      </c>
      <c r="CB7" s="31"/>
      <c r="CC7" s="31">
        <v>100</v>
      </c>
      <c r="CD7" s="31">
        <v>60</v>
      </c>
      <c r="CE7" s="31"/>
      <c r="CF7" s="31">
        <v>3</v>
      </c>
      <c r="CG7" s="31"/>
      <c r="CH7" s="31">
        <v>99</v>
      </c>
      <c r="CI7" s="31">
        <v>50</v>
      </c>
      <c r="CJ7" s="31">
        <v>5</v>
      </c>
      <c r="CK7" s="26" t="s">
        <v>159</v>
      </c>
      <c r="CL7" s="31">
        <v>2</v>
      </c>
      <c r="CM7" s="31">
        <v>100</v>
      </c>
      <c r="CN7" s="31">
        <v>70</v>
      </c>
      <c r="CO7" s="31">
        <v>3</v>
      </c>
      <c r="CP7" s="31" t="s">
        <v>160</v>
      </c>
      <c r="CQ7" s="31">
        <v>3</v>
      </c>
      <c r="CR7" s="31" t="s">
        <v>160</v>
      </c>
      <c r="CS7" s="31">
        <v>5</v>
      </c>
      <c r="CT7" s="31">
        <v>100</v>
      </c>
      <c r="CU7" s="31">
        <v>95</v>
      </c>
      <c r="CV7" s="31">
        <v>5</v>
      </c>
      <c r="CW7" s="31">
        <v>100</v>
      </c>
      <c r="CX7" s="31">
        <v>95</v>
      </c>
      <c r="CY7" s="31">
        <v>4</v>
      </c>
      <c r="CZ7" s="31">
        <v>0</v>
      </c>
      <c r="DA7" s="31">
        <v>1</v>
      </c>
      <c r="DB7" s="31">
        <v>4</v>
      </c>
      <c r="DC7" s="31"/>
      <c r="DD7" s="31">
        <v>98</v>
      </c>
      <c r="DE7" s="31">
        <v>85</v>
      </c>
      <c r="DF7" s="31">
        <v>3</v>
      </c>
      <c r="DG7" s="31"/>
      <c r="DH7" s="31">
        <v>0</v>
      </c>
      <c r="DI7" s="31">
        <v>10</v>
      </c>
      <c r="DJ7" s="31">
        <v>3</v>
      </c>
      <c r="DK7" s="33">
        <f>'[1]Для учреждений'!$H$114</f>
        <v>7</v>
      </c>
      <c r="DL7" s="31">
        <v>1</v>
      </c>
      <c r="DM7" s="31">
        <v>5</v>
      </c>
      <c r="DN7" s="31"/>
      <c r="DO7" s="31">
        <v>100</v>
      </c>
      <c r="DP7" s="31">
        <v>90</v>
      </c>
      <c r="DQ7" s="31">
        <v>4</v>
      </c>
      <c r="DR7" s="31"/>
      <c r="DS7" s="31">
        <v>100</v>
      </c>
      <c r="DT7" s="31">
        <v>25</v>
      </c>
      <c r="DU7" s="16"/>
      <c r="DV7" s="16"/>
    </row>
    <row r="8" spans="1:160" ht="18.75" customHeight="1">
      <c r="A8" s="34"/>
      <c r="B8" s="34"/>
      <c r="C8" s="26">
        <v>1</v>
      </c>
      <c r="D8" s="26">
        <v>2</v>
      </c>
      <c r="E8" s="26">
        <v>3</v>
      </c>
      <c r="F8" s="26">
        <v>4</v>
      </c>
      <c r="G8" s="26">
        <v>5</v>
      </c>
      <c r="H8" s="26">
        <v>6</v>
      </c>
      <c r="I8" s="26">
        <v>7</v>
      </c>
      <c r="J8" s="26">
        <v>8</v>
      </c>
      <c r="K8" s="26">
        <v>9</v>
      </c>
      <c r="L8" s="26">
        <v>10</v>
      </c>
      <c r="M8" s="26">
        <v>11</v>
      </c>
      <c r="N8" s="26">
        <v>12</v>
      </c>
      <c r="O8" s="26">
        <v>13</v>
      </c>
      <c r="P8" s="26">
        <v>14</v>
      </c>
      <c r="Q8" s="26">
        <v>15</v>
      </c>
      <c r="R8" s="26">
        <v>16</v>
      </c>
      <c r="S8" s="26">
        <v>17</v>
      </c>
      <c r="T8" s="26">
        <v>18</v>
      </c>
      <c r="U8" s="26">
        <v>19</v>
      </c>
      <c r="V8" s="26">
        <v>20</v>
      </c>
      <c r="W8" s="27">
        <v>21</v>
      </c>
      <c r="X8" s="26">
        <v>22</v>
      </c>
      <c r="Y8" s="26">
        <v>23</v>
      </c>
      <c r="Z8" s="26">
        <v>24</v>
      </c>
      <c r="AA8" s="26">
        <v>25</v>
      </c>
      <c r="AB8" s="26">
        <v>26</v>
      </c>
      <c r="AC8" s="26">
        <v>27</v>
      </c>
      <c r="AD8" s="26">
        <v>28</v>
      </c>
      <c r="AE8" s="26">
        <v>29</v>
      </c>
      <c r="AF8" s="26">
        <v>30</v>
      </c>
      <c r="AG8" s="26">
        <v>31</v>
      </c>
      <c r="AH8" s="26">
        <v>32</v>
      </c>
      <c r="AI8" s="26">
        <v>33</v>
      </c>
      <c r="AJ8" s="26">
        <v>34</v>
      </c>
      <c r="AK8" s="26">
        <v>35</v>
      </c>
      <c r="AL8" s="26">
        <v>36</v>
      </c>
      <c r="AM8" s="26">
        <v>37</v>
      </c>
      <c r="AN8" s="26">
        <v>38</v>
      </c>
      <c r="AO8" s="26">
        <v>39</v>
      </c>
      <c r="AP8" s="26">
        <v>40</v>
      </c>
      <c r="AQ8" s="26">
        <v>41</v>
      </c>
      <c r="AR8" s="26">
        <v>42</v>
      </c>
      <c r="AS8" s="26">
        <v>43</v>
      </c>
      <c r="AT8" s="26">
        <v>44</v>
      </c>
      <c r="AU8" s="26">
        <v>45</v>
      </c>
      <c r="AV8" s="26">
        <v>46</v>
      </c>
      <c r="AW8" s="26">
        <v>47</v>
      </c>
      <c r="AX8" s="26">
        <v>48</v>
      </c>
      <c r="AY8" s="26">
        <v>49</v>
      </c>
      <c r="AZ8" s="26">
        <v>50</v>
      </c>
      <c r="BA8" s="26">
        <v>51</v>
      </c>
      <c r="BB8" s="26">
        <v>52</v>
      </c>
      <c r="BC8" s="26">
        <v>53</v>
      </c>
      <c r="BD8" s="26">
        <v>54</v>
      </c>
      <c r="BE8" s="26">
        <v>55</v>
      </c>
      <c r="BF8" s="26">
        <v>56</v>
      </c>
      <c r="BG8" s="26">
        <v>57</v>
      </c>
      <c r="BH8" s="26">
        <v>58</v>
      </c>
      <c r="BI8" s="26">
        <v>59</v>
      </c>
      <c r="BJ8" s="26">
        <v>60</v>
      </c>
      <c r="BK8" s="26">
        <v>61</v>
      </c>
      <c r="BL8" s="26">
        <v>62</v>
      </c>
      <c r="BM8" s="26">
        <v>63</v>
      </c>
      <c r="BN8" s="26">
        <v>64</v>
      </c>
      <c r="BO8" s="26">
        <v>65</v>
      </c>
      <c r="BP8" s="26">
        <v>66</v>
      </c>
      <c r="BQ8" s="26">
        <v>67</v>
      </c>
      <c r="BR8" s="26">
        <v>70</v>
      </c>
      <c r="BS8" s="26">
        <v>71</v>
      </c>
      <c r="BT8" s="26">
        <v>72</v>
      </c>
      <c r="BU8" s="26">
        <v>73</v>
      </c>
      <c r="BV8" s="26">
        <v>74</v>
      </c>
      <c r="BW8" s="26">
        <v>75</v>
      </c>
      <c r="BX8" s="26">
        <v>76</v>
      </c>
      <c r="BY8" s="26">
        <v>77</v>
      </c>
      <c r="BZ8" s="26">
        <v>78</v>
      </c>
      <c r="CA8" s="26">
        <v>79</v>
      </c>
      <c r="CB8" s="26">
        <v>80</v>
      </c>
      <c r="CC8" s="26">
        <v>81</v>
      </c>
      <c r="CD8" s="26">
        <v>82</v>
      </c>
      <c r="CE8" s="26">
        <v>83</v>
      </c>
      <c r="CF8" s="26">
        <v>84</v>
      </c>
      <c r="CG8" s="26">
        <v>85</v>
      </c>
      <c r="CH8" s="26">
        <v>86</v>
      </c>
      <c r="CI8" s="26">
        <v>87</v>
      </c>
      <c r="CJ8" s="26">
        <v>88</v>
      </c>
      <c r="CK8" s="26">
        <v>89</v>
      </c>
      <c r="CL8" s="26">
        <v>90</v>
      </c>
      <c r="CM8" s="26">
        <v>91</v>
      </c>
      <c r="CN8" s="26">
        <v>92</v>
      </c>
      <c r="CO8" s="26">
        <v>93</v>
      </c>
      <c r="CP8" s="26">
        <v>94</v>
      </c>
      <c r="CQ8" s="26">
        <v>95</v>
      </c>
      <c r="CR8" s="26">
        <v>96</v>
      </c>
      <c r="CS8" s="26">
        <v>97</v>
      </c>
      <c r="CT8" s="26">
        <v>98</v>
      </c>
      <c r="CU8" s="26">
        <v>99</v>
      </c>
      <c r="CV8" s="26">
        <v>100</v>
      </c>
      <c r="CW8" s="26">
        <v>101</v>
      </c>
      <c r="CX8" s="26">
        <v>102</v>
      </c>
      <c r="CY8" s="26">
        <v>103</v>
      </c>
      <c r="CZ8" s="26">
        <v>104</v>
      </c>
      <c r="DA8" s="26">
        <v>105</v>
      </c>
      <c r="DB8" s="26">
        <v>106</v>
      </c>
      <c r="DC8" s="26">
        <v>107</v>
      </c>
      <c r="DD8" s="26">
        <v>108</v>
      </c>
      <c r="DE8" s="26">
        <v>109</v>
      </c>
      <c r="DF8" s="26">
        <v>110</v>
      </c>
      <c r="DG8" s="26">
        <v>111</v>
      </c>
      <c r="DH8" s="26">
        <v>112</v>
      </c>
      <c r="DI8" s="26">
        <v>113</v>
      </c>
      <c r="DJ8" s="26">
        <v>114</v>
      </c>
      <c r="DK8" s="26">
        <v>115</v>
      </c>
      <c r="DL8" s="26">
        <v>116</v>
      </c>
      <c r="DM8" s="26">
        <v>117</v>
      </c>
      <c r="DN8" s="26">
        <v>118</v>
      </c>
      <c r="DO8" s="26">
        <v>119</v>
      </c>
      <c r="DP8" s="26">
        <v>120</v>
      </c>
      <c r="DQ8" s="26">
        <v>121</v>
      </c>
      <c r="DR8" s="26">
        <v>122</v>
      </c>
      <c r="DS8" s="26">
        <v>123</v>
      </c>
      <c r="DT8" s="26">
        <v>124</v>
      </c>
      <c r="DU8" s="26">
        <v>125</v>
      </c>
      <c r="DV8" s="26">
        <v>127</v>
      </c>
    </row>
    <row r="9" spans="1:160" ht="150">
      <c r="A9" s="35">
        <v>43</v>
      </c>
      <c r="B9" s="35">
        <v>49</v>
      </c>
      <c r="C9" s="36" t="s">
        <v>164</v>
      </c>
      <c r="D9" s="36" t="s">
        <v>208</v>
      </c>
      <c r="E9" s="37">
        <f t="shared" ref="E9:E29" si="0">IF(F9&gt;1,0,IF(G9/H9&lt;$H$7/100,0,IF(G9/H9&gt;$G$7/100,3,$E$7*(G9/H9-$H$7/100)/(($G$7-$H$7)/100))))</f>
        <v>3</v>
      </c>
      <c r="F9" s="38">
        <f t="shared" ref="F9:F40" si="1">IF(H9=0,0,G9/H9)</f>
        <v>1</v>
      </c>
      <c r="G9" s="9">
        <v>26156</v>
      </c>
      <c r="H9" s="9">
        <v>26156</v>
      </c>
      <c r="I9" s="37">
        <f t="shared" ref="I9:I29" si="2">IF(K9/L9&lt;$L$7/100,0,IF(K9/L9&gt;$K$7/100,3,$I$7*(K9/L9-$L$7/100)/(($K$7-$L$7)/100)))</f>
        <v>3</v>
      </c>
      <c r="J9" s="39">
        <f t="shared" ref="J9:J40" si="3">IF(L9=0,0,K9/L9)</f>
        <v>1</v>
      </c>
      <c r="K9" s="11">
        <v>26156</v>
      </c>
      <c r="L9" s="11">
        <v>26156</v>
      </c>
      <c r="M9" s="37">
        <f>IF(O9/P9&lt;$P$7/100,0,IF(O9/P9&gt;$O$7/100,3,$M$7*(O9/P9-$P$7/100)/(($O$7-$P$7)/100)))</f>
        <v>3</v>
      </c>
      <c r="N9" s="39">
        <f t="shared" ref="N9:N29" si="4">IF(P9=0,0,O9/P9)</f>
        <v>1</v>
      </c>
      <c r="O9" s="10">
        <v>26156</v>
      </c>
      <c r="P9" s="11">
        <v>26156</v>
      </c>
      <c r="Q9" s="37">
        <f t="shared" ref="Q9:Q29" si="5">IF(S9/T9&lt;$T$7/100,0,IF(S9/T9&gt;$S$7/100,3,$Q$7*(S9/T9-$T$7/100)/(($S$7-$T$7)/100)))</f>
        <v>3</v>
      </c>
      <c r="R9" s="39">
        <f t="shared" ref="R9:R40" si="6">IF(T9=0,0,S9/T9)</f>
        <v>1</v>
      </c>
      <c r="S9" s="40">
        <f t="shared" ref="S9:S40" si="7">K9</f>
        <v>26156</v>
      </c>
      <c r="T9" s="41">
        <v>26156</v>
      </c>
      <c r="U9" s="37">
        <f t="shared" ref="U9:U50" si="8">IF(W9=0,3,IF(V9&lt;0.01,3,IF(V9&gt;0.05,0,V9/(0.05-0.01)*3)))</f>
        <v>3</v>
      </c>
      <c r="V9" s="39">
        <f t="shared" ref="V9:V40" si="9">IF(AB9=0,0,(W9-X9-Y9-Z9-AA9)/AB9)</f>
        <v>-0.18587797348067486</v>
      </c>
      <c r="W9" s="40">
        <v>0</v>
      </c>
      <c r="X9" s="8">
        <v>0</v>
      </c>
      <c r="Y9" s="8">
        <v>7114414.9199999999</v>
      </c>
      <c r="Z9" s="8">
        <v>6718846.9199999999</v>
      </c>
      <c r="AA9" s="40">
        <v>0</v>
      </c>
      <c r="AB9" s="40">
        <v>74421200</v>
      </c>
      <c r="AC9" s="37">
        <f t="shared" ref="AC9:AC40" si="10">IF(AF9=0,3,IF(AE9/AF9&lt;$AF$7/100,3,IF(AE9/AF9&gt;$AE$7/100,0,3)))</f>
        <v>3</v>
      </c>
      <c r="AD9" s="38">
        <f t="shared" ref="AD9:AD40" si="11">IF(AF9=0,0,AE9/AF9)</f>
        <v>0</v>
      </c>
      <c r="AE9" s="9">
        <v>0</v>
      </c>
      <c r="AF9" s="9">
        <v>458478.21999999974</v>
      </c>
      <c r="AG9" s="37">
        <f t="shared" ref="AG9:AG40" si="12">IF(AH9&gt;3,IF(AH9&lt;8,1,0),0)</f>
        <v>1</v>
      </c>
      <c r="AH9" s="42">
        <f t="shared" ref="AH9:AH40" si="13">AI9+4-AJ9</f>
        <v>4</v>
      </c>
      <c r="AI9" s="43">
        <v>12</v>
      </c>
      <c r="AJ9" s="43">
        <v>12</v>
      </c>
      <c r="AK9" s="44"/>
      <c r="AL9" s="43"/>
      <c r="AM9" s="44"/>
      <c r="AN9" s="44"/>
      <c r="AO9" s="37">
        <f t="shared" ref="AO9:AO40" si="14">IF(AP9=0,3,3*(1-AP9))</f>
        <v>3</v>
      </c>
      <c r="AP9" s="39">
        <f t="shared" ref="AP9:AP40" si="15">IF(AR9=0,0,AQ9/AR9)</f>
        <v>0</v>
      </c>
      <c r="AQ9" s="9"/>
      <c r="AR9" s="9">
        <v>80852396.799999997</v>
      </c>
      <c r="AS9" s="37">
        <f t="shared" ref="AS9:AS40" si="16">IF(AT9&lt;0.3,0,IF(AT9&gt;0.7,2,2*AT9/0.7))</f>
        <v>0</v>
      </c>
      <c r="AT9" s="39">
        <f t="shared" ref="AT9:AT40" si="17">AU9/(AU9+AV9)</f>
        <v>3.5133551284212162E-4</v>
      </c>
      <c r="AU9" s="45">
        <f t="shared" ref="AU9:AU40" si="18">O9</f>
        <v>26156</v>
      </c>
      <c r="AV9" s="46">
        <f t="shared" ref="AV9:AV40" si="19">AB9</f>
        <v>74421200</v>
      </c>
      <c r="AW9" s="37">
        <f t="shared" ref="AW9:AW56" si="20">IF(AX9/1&lt;$AZ$7/100,0,IF(AX9/1&gt;$AY$7/100,$AW$7,($AY$7-$AZ$7)*AX9))</f>
        <v>2</v>
      </c>
      <c r="AX9" s="39">
        <v>1</v>
      </c>
      <c r="AY9" s="47">
        <v>26156</v>
      </c>
      <c r="AZ9" s="44"/>
      <c r="BA9" s="44">
        <v>2</v>
      </c>
      <c r="BB9" s="44">
        <v>26156</v>
      </c>
      <c r="BC9" s="37">
        <v>0</v>
      </c>
      <c r="BD9" s="37">
        <f t="shared" ref="BD9:BD40" si="21">IF(BE9&lt;$BF$7/100,1,0)</f>
        <v>1</v>
      </c>
      <c r="BE9" s="39">
        <f t="shared" ref="BE9:BE40" si="22">IF(BG9=0,0,BF9/BG9)</f>
        <v>0</v>
      </c>
      <c r="BF9" s="37">
        <v>0</v>
      </c>
      <c r="BG9" s="44">
        <v>607.91</v>
      </c>
      <c r="BH9" s="37">
        <f t="shared" ref="BH9:BH40" si="23">IF(BI9=0,1,IF(BI9/BJ9&lt;0.01,1,0))</f>
        <v>1</v>
      </c>
      <c r="BI9" s="37">
        <v>0</v>
      </c>
      <c r="BJ9" s="44">
        <v>4938430.8600000003</v>
      </c>
      <c r="BK9" s="37">
        <f t="shared" ref="BK9:BK40" si="24">IF(BL9&lt;0.001,$BK$7,0)</f>
        <v>4</v>
      </c>
      <c r="BL9" s="38">
        <f t="shared" ref="BL9:BL40" si="25">BM9/(BN9+BO9+BP9)</f>
        <v>0</v>
      </c>
      <c r="BM9" s="37">
        <v>0</v>
      </c>
      <c r="BN9" s="44">
        <v>10417.64</v>
      </c>
      <c r="BO9" s="37">
        <v>0</v>
      </c>
      <c r="BP9" s="44">
        <v>3141.48</v>
      </c>
      <c r="BQ9" s="37">
        <f>IF(BR9&lt;0.95,0,IF(BR9&lt;1.05,2,0))</f>
        <v>2</v>
      </c>
      <c r="BR9" s="39">
        <f t="shared" ref="BR9:BR40" si="26">(BS9/BT9/BU9)/BV9</f>
        <v>1.0309776536702775</v>
      </c>
      <c r="BS9" s="44">
        <v>25110805.149999999</v>
      </c>
      <c r="BT9" s="44">
        <v>33.1</v>
      </c>
      <c r="BU9" s="44">
        <v>12</v>
      </c>
      <c r="BV9" s="44">
        <v>61320</v>
      </c>
      <c r="BW9" s="37">
        <f>IF(BX9&lt;0.7,0,IF(BX9&lt;0.8,2,0))</f>
        <v>2</v>
      </c>
      <c r="BX9" s="39">
        <f t="shared" ref="BX9:BX40" si="27">BY9/BZ9</f>
        <v>0.73024590732275307</v>
      </c>
      <c r="BY9" s="44">
        <v>54364877.030000001</v>
      </c>
      <c r="BZ9" s="47">
        <v>74447356</v>
      </c>
      <c r="CA9" s="48">
        <f t="shared" ref="CA9:CA40" si="28">IF((CC9+CD9)/CE9&lt;0.6,0,2)</f>
        <v>2</v>
      </c>
      <c r="CB9" s="49">
        <f t="shared" ref="CB9:CB40" si="29">(CC9+CD9)/CE9</f>
        <v>1</v>
      </c>
      <c r="CC9" s="44">
        <v>0</v>
      </c>
      <c r="CD9" s="44">
        <v>2</v>
      </c>
      <c r="CE9" s="44">
        <v>2</v>
      </c>
      <c r="CF9" s="37">
        <f t="shared" ref="CF9:CF40" si="30">IF(CH9/CI9&lt;$CH$7/100,0,IF(CH9/CI9&gt;$CI$7/100,3,$CF$7*(CH9/CI9-$CF$7/100)/(($CH$7-$CI$7)/100)))</f>
        <v>3</v>
      </c>
      <c r="CG9" s="39">
        <f t="shared" ref="CG9:CG40" si="31">CH9/CI9</f>
        <v>1</v>
      </c>
      <c r="CH9" s="44">
        <v>1</v>
      </c>
      <c r="CI9" s="44">
        <v>1</v>
      </c>
      <c r="CJ9" s="48">
        <f t="shared" ref="CJ9:CJ40" si="32">IF(CK9&gt;0,0,5)</f>
        <v>5</v>
      </c>
      <c r="CK9" s="44">
        <v>0</v>
      </c>
      <c r="CL9" s="37">
        <f t="shared" ref="CL9:CL40" si="33">IF(CM9/CN9&lt;$CM$7/100,0,IF(CM9/CN9&gt;$CN$7/100,$CL$7,$CL$7*(CM9/CN9-$CL$7/100)/(($CM$7-$CN$7)/100)))</f>
        <v>2</v>
      </c>
      <c r="CM9" s="44">
        <v>88</v>
      </c>
      <c r="CN9" s="50">
        <v>88</v>
      </c>
      <c r="CO9" s="48">
        <f t="shared" ref="CO9:CO40" si="34">IF(CP9&gt;0,0,3)</f>
        <v>3</v>
      </c>
      <c r="CP9" s="44"/>
      <c r="CQ9" s="48">
        <f t="shared" ref="CQ9:CQ40" si="35">IF(CR9&gt;0,0,3)</f>
        <v>3</v>
      </c>
      <c r="CR9" s="44"/>
      <c r="CS9" s="37"/>
      <c r="CT9" s="44"/>
      <c r="CU9" s="44"/>
      <c r="CV9" s="37">
        <f t="shared" ref="CV9:CV40" si="36">IF(CX9/CW9&lt;0.95,0,5*(CW9/CX9))</f>
        <v>5</v>
      </c>
      <c r="CW9" s="44">
        <v>6</v>
      </c>
      <c r="CX9" s="44">
        <v>6</v>
      </c>
      <c r="CY9" s="51">
        <f t="shared" ref="CY9:CY40" si="37">IF(CZ9&gt;0,0,4)</f>
        <v>4</v>
      </c>
      <c r="CZ9" s="44"/>
      <c r="DA9" s="44">
        <v>0</v>
      </c>
      <c r="DB9" s="37">
        <f t="shared" ref="DB9:DB40" si="38">IF(DD9/DE9&gt;1,0,IF(DD9/DE9&lt;$DE$7/100,0,IF(DD9/DE9&gt;$DD$7/100,$DB$7,$DB$7*(DD9/DE9-$DE$7/100)/(($DD$7-$DE$7)/100))))</f>
        <v>4</v>
      </c>
      <c r="DC9" s="39">
        <f t="shared" ref="DC9:DC40" si="39">DD9/DE9</f>
        <v>1</v>
      </c>
      <c r="DD9" s="44">
        <v>80878552.799999997</v>
      </c>
      <c r="DE9" s="44">
        <v>80878552.799999997</v>
      </c>
      <c r="DF9" s="37">
        <f t="shared" ref="DF9:DF40" si="40">IF(DG9&gt;0.01,0,3)</f>
        <v>3</v>
      </c>
      <c r="DG9" s="39">
        <f t="shared" ref="DG9:DG40" si="41">IF(DI9=0,0,DH9/DI9)</f>
        <v>0</v>
      </c>
      <c r="DH9" s="46">
        <v>0</v>
      </c>
      <c r="DI9" s="11">
        <v>80852396.799999997</v>
      </c>
      <c r="DJ9" s="37">
        <f>IF(DK9&gt;0,0,3)</f>
        <v>3</v>
      </c>
      <c r="DK9" s="44"/>
      <c r="DL9" s="44"/>
      <c r="DM9" s="37">
        <f t="shared" ref="DM9:DM40" si="42">IF(DN9&lt;0.9,0,5*DN9)</f>
        <v>5</v>
      </c>
      <c r="DN9" s="52">
        <f t="shared" ref="DN9:DN40" si="43">DO9/DP9</f>
        <v>1</v>
      </c>
      <c r="DO9" s="53">
        <v>26</v>
      </c>
      <c r="DP9" s="53">
        <v>26</v>
      </c>
      <c r="DQ9" s="37">
        <f t="shared" ref="DQ9:DQ40" si="44">IF(DS9/DT9&lt;$DT$7/100,0,IF(DS9/DT9&gt;$DS$7/100,$DQ$7,$DQ$7*(DS9/DT9-$DT$7/100)/(($DS$7-$DT$7)/100)))</f>
        <v>4</v>
      </c>
      <c r="DR9" s="39">
        <f t="shared" ref="DR9:DR40" si="45">DS9/DT9</f>
        <v>1</v>
      </c>
      <c r="DS9" s="53">
        <v>68</v>
      </c>
      <c r="DT9" s="53">
        <v>68</v>
      </c>
      <c r="DU9" s="54">
        <f t="shared" ref="DU9:DU40" si="46">E9+I9+M9+Q9+U9+AC9+AG9+AK9+AO9+AS9+AW9+BA9+BD9+BH9+BK9+BQ9+BW9+CA9+CF9+CJ9+CL9+CO9+CQ9+CS9+CV9+CY9+DB9+DF9+DJ9+DM9+DQ9</f>
        <v>82</v>
      </c>
      <c r="DV9" s="55">
        <f t="shared" ref="DV9:DV40" si="47">RANK(DU9,$DU$9:$DU$67)</f>
        <v>1</v>
      </c>
      <c r="DW9" s="4"/>
    </row>
    <row r="10" spans="1:160" ht="150">
      <c r="A10" s="35">
        <v>36</v>
      </c>
      <c r="B10" s="35">
        <v>43</v>
      </c>
      <c r="C10" s="56" t="s">
        <v>164</v>
      </c>
      <c r="D10" s="56" t="s">
        <v>201</v>
      </c>
      <c r="E10" s="37">
        <f t="shared" si="0"/>
        <v>3</v>
      </c>
      <c r="F10" s="38">
        <f t="shared" si="1"/>
        <v>1</v>
      </c>
      <c r="G10" s="57">
        <v>1864016.31</v>
      </c>
      <c r="H10" s="57">
        <v>1864016.31</v>
      </c>
      <c r="I10" s="37">
        <f t="shared" si="2"/>
        <v>3</v>
      </c>
      <c r="J10" s="39">
        <f t="shared" si="3"/>
        <v>1</v>
      </c>
      <c r="K10" s="46">
        <v>1864081.62</v>
      </c>
      <c r="L10" s="46">
        <v>1864081.62</v>
      </c>
      <c r="M10" s="37">
        <f>IF(O10/P10&lt;$P$7/100,0,IF(O10/P10&gt;$O$7/100,3,$M$7*(O10/P10-$P$7/100)/(($O$7-$P$7)/100)))</f>
        <v>3</v>
      </c>
      <c r="N10" s="39">
        <f t="shared" si="4"/>
        <v>0.99996496275292779</v>
      </c>
      <c r="O10" s="45">
        <v>1863951</v>
      </c>
      <c r="P10" s="46">
        <v>1864016.31</v>
      </c>
      <c r="Q10" s="37">
        <f t="shared" si="5"/>
        <v>3</v>
      </c>
      <c r="R10" s="39">
        <f t="shared" si="6"/>
        <v>1</v>
      </c>
      <c r="S10" s="40">
        <f t="shared" si="7"/>
        <v>1864081.62</v>
      </c>
      <c r="T10" s="41">
        <v>1864081.62</v>
      </c>
      <c r="U10" s="37">
        <f t="shared" si="8"/>
        <v>3</v>
      </c>
      <c r="V10" s="39">
        <f t="shared" si="9"/>
        <v>-9.2750514138695353E-2</v>
      </c>
      <c r="W10" s="40">
        <v>0</v>
      </c>
      <c r="X10" s="8">
        <v>0</v>
      </c>
      <c r="Y10" s="8">
        <v>9762334.7899999991</v>
      </c>
      <c r="Z10" s="8">
        <v>0</v>
      </c>
      <c r="AA10" s="40">
        <v>0</v>
      </c>
      <c r="AB10" s="46">
        <v>105253700</v>
      </c>
      <c r="AC10" s="37">
        <f t="shared" si="10"/>
        <v>3</v>
      </c>
      <c r="AD10" s="38">
        <f t="shared" si="11"/>
        <v>0</v>
      </c>
      <c r="AE10" s="57">
        <v>0</v>
      </c>
      <c r="AF10" s="57">
        <v>1319337.6399999997</v>
      </c>
      <c r="AG10" s="37">
        <f t="shared" si="12"/>
        <v>1</v>
      </c>
      <c r="AH10" s="42">
        <f t="shared" si="13"/>
        <v>4</v>
      </c>
      <c r="AI10" s="42">
        <v>15</v>
      </c>
      <c r="AJ10" s="42">
        <v>15</v>
      </c>
      <c r="AK10" s="37">
        <f>IF(AL10&gt;0,IF(AL10&gt;4,0,1),0)</f>
        <v>0</v>
      </c>
      <c r="AL10" s="42"/>
      <c r="AM10" s="37"/>
      <c r="AN10" s="37"/>
      <c r="AO10" s="37">
        <f t="shared" si="14"/>
        <v>3</v>
      </c>
      <c r="AP10" s="39">
        <f t="shared" si="15"/>
        <v>0</v>
      </c>
      <c r="AQ10" s="57"/>
      <c r="AR10" s="57">
        <v>112730653.59999999</v>
      </c>
      <c r="AS10" s="37">
        <f t="shared" si="16"/>
        <v>0</v>
      </c>
      <c r="AT10" s="39">
        <f t="shared" si="17"/>
        <v>1.7400969705730383E-2</v>
      </c>
      <c r="AU10" s="45">
        <f t="shared" si="18"/>
        <v>1863951</v>
      </c>
      <c r="AV10" s="46">
        <f t="shared" si="19"/>
        <v>105253700</v>
      </c>
      <c r="AW10" s="37">
        <f t="shared" si="20"/>
        <v>2</v>
      </c>
      <c r="AX10" s="39">
        <f>AY10/AZ10-1</f>
        <v>4.891972646366896</v>
      </c>
      <c r="AY10" s="45">
        <f>AU10</f>
        <v>1863951</v>
      </c>
      <c r="AZ10" s="46">
        <v>316354.32</v>
      </c>
      <c r="BA10" s="37">
        <v>2</v>
      </c>
      <c r="BB10" s="46">
        <f>AY10</f>
        <v>1863951</v>
      </c>
      <c r="BC10" s="46">
        <v>0</v>
      </c>
      <c r="BD10" s="37">
        <f t="shared" si="21"/>
        <v>1</v>
      </c>
      <c r="BE10" s="39">
        <f t="shared" si="22"/>
        <v>0</v>
      </c>
      <c r="BF10" s="37">
        <v>0</v>
      </c>
      <c r="BG10" s="46">
        <v>3952831.88</v>
      </c>
      <c r="BH10" s="37">
        <f t="shared" si="23"/>
        <v>1</v>
      </c>
      <c r="BI10" s="37">
        <v>0</v>
      </c>
      <c r="BJ10" s="46">
        <v>9280956.1999999993</v>
      </c>
      <c r="BK10" s="37">
        <f t="shared" si="24"/>
        <v>4</v>
      </c>
      <c r="BL10" s="38">
        <f t="shared" si="25"/>
        <v>0</v>
      </c>
      <c r="BM10" s="46">
        <v>0</v>
      </c>
      <c r="BN10" s="46">
        <v>4679.26</v>
      </c>
      <c r="BO10" s="46">
        <v>0</v>
      </c>
      <c r="BP10" s="46">
        <v>5043.12</v>
      </c>
      <c r="BQ10" s="37">
        <f>IF(BR10&lt;0.95,0,IF(BR10&lt;1.05,2,0))</f>
        <v>2</v>
      </c>
      <c r="BR10" s="39">
        <f t="shared" si="26"/>
        <v>0.9814313853395239</v>
      </c>
      <c r="BS10" s="37">
        <v>41741800</v>
      </c>
      <c r="BT10" s="37">
        <v>57.8</v>
      </c>
      <c r="BU10" s="37">
        <v>12</v>
      </c>
      <c r="BV10" s="37">
        <v>61320</v>
      </c>
      <c r="BW10" s="37">
        <v>2</v>
      </c>
      <c r="BX10" s="39">
        <f t="shared" si="27"/>
        <v>1.4905078622383159E-2</v>
      </c>
      <c r="BY10" s="46">
        <v>1596597.01</v>
      </c>
      <c r="BZ10" s="45">
        <v>107117651</v>
      </c>
      <c r="CA10" s="48">
        <f t="shared" si="28"/>
        <v>2</v>
      </c>
      <c r="CB10" s="49">
        <f t="shared" si="29"/>
        <v>2</v>
      </c>
      <c r="CC10" s="37">
        <v>3</v>
      </c>
      <c r="CD10" s="37">
        <v>3</v>
      </c>
      <c r="CE10" s="37">
        <v>3</v>
      </c>
      <c r="CF10" s="37">
        <f t="shared" si="30"/>
        <v>3</v>
      </c>
      <c r="CG10" s="39">
        <f t="shared" si="31"/>
        <v>1</v>
      </c>
      <c r="CH10" s="37">
        <v>7</v>
      </c>
      <c r="CI10" s="37">
        <v>7</v>
      </c>
      <c r="CJ10" s="48">
        <f t="shared" si="32"/>
        <v>0</v>
      </c>
      <c r="CK10" s="37">
        <v>1</v>
      </c>
      <c r="CL10" s="37">
        <f t="shared" si="33"/>
        <v>0</v>
      </c>
      <c r="CM10" s="37">
        <v>75</v>
      </c>
      <c r="CN10" s="50">
        <v>88</v>
      </c>
      <c r="CO10" s="48">
        <f t="shared" si="34"/>
        <v>3</v>
      </c>
      <c r="CP10" s="37"/>
      <c r="CQ10" s="48">
        <f t="shared" si="35"/>
        <v>3</v>
      </c>
      <c r="CR10" s="37"/>
      <c r="CS10" s="37"/>
      <c r="CT10" s="37"/>
      <c r="CU10" s="37"/>
      <c r="CV10" s="37">
        <f t="shared" si="36"/>
        <v>5</v>
      </c>
      <c r="CW10" s="37">
        <v>10</v>
      </c>
      <c r="CX10" s="37">
        <v>10</v>
      </c>
      <c r="CY10" s="51">
        <f t="shared" si="37"/>
        <v>4</v>
      </c>
      <c r="CZ10" s="37"/>
      <c r="DA10" s="37">
        <v>21027907.34</v>
      </c>
      <c r="DB10" s="37">
        <f t="shared" si="38"/>
        <v>4</v>
      </c>
      <c r="DC10" s="39">
        <f t="shared" si="39"/>
        <v>1</v>
      </c>
      <c r="DD10" s="11">
        <v>115049384.77</v>
      </c>
      <c r="DE10" s="11">
        <v>115049384.77</v>
      </c>
      <c r="DF10" s="37">
        <f t="shared" si="40"/>
        <v>3</v>
      </c>
      <c r="DG10" s="39">
        <f t="shared" si="41"/>
        <v>0</v>
      </c>
      <c r="DH10" s="46">
        <v>0</v>
      </c>
      <c r="DI10" s="11">
        <v>113185303.15000001</v>
      </c>
      <c r="DJ10" s="37">
        <f>IF(DK10&gt;0,0,3)</f>
        <v>3</v>
      </c>
      <c r="DK10" s="37"/>
      <c r="DL10" s="37"/>
      <c r="DM10" s="37">
        <f t="shared" si="42"/>
        <v>5</v>
      </c>
      <c r="DN10" s="52">
        <f t="shared" si="43"/>
        <v>1</v>
      </c>
      <c r="DO10" s="58">
        <v>42</v>
      </c>
      <c r="DP10" s="58">
        <v>42</v>
      </c>
      <c r="DQ10" s="37">
        <f t="shared" si="44"/>
        <v>3.8461538461538463</v>
      </c>
      <c r="DR10" s="39">
        <f t="shared" si="45"/>
        <v>0.97115384615384615</v>
      </c>
      <c r="DS10" s="58">
        <v>101</v>
      </c>
      <c r="DT10" s="58">
        <v>104</v>
      </c>
      <c r="DU10" s="54">
        <f t="shared" si="46"/>
        <v>74.84615384615384</v>
      </c>
      <c r="DV10" s="55">
        <f t="shared" si="47"/>
        <v>2</v>
      </c>
      <c r="DW10" s="4"/>
    </row>
    <row r="11" spans="1:160" ht="90">
      <c r="A11" s="35">
        <v>26</v>
      </c>
      <c r="B11" s="35">
        <v>34</v>
      </c>
      <c r="C11" s="56" t="s">
        <v>164</v>
      </c>
      <c r="D11" s="36" t="s">
        <v>189</v>
      </c>
      <c r="E11" s="37">
        <f t="shared" si="0"/>
        <v>3</v>
      </c>
      <c r="F11" s="38">
        <f t="shared" si="1"/>
        <v>1</v>
      </c>
      <c r="G11" s="57">
        <v>33754285</v>
      </c>
      <c r="H11" s="59">
        <v>33754285</v>
      </c>
      <c r="I11" s="37">
        <f t="shared" si="2"/>
        <v>0</v>
      </c>
      <c r="J11" s="39">
        <f t="shared" si="3"/>
        <v>0.75386524619724482</v>
      </c>
      <c r="K11" s="46">
        <v>32200718.890000001</v>
      </c>
      <c r="L11" s="45">
        <v>42714157.539999999</v>
      </c>
      <c r="M11" s="37">
        <f>IF(O11/P11&lt;$P$7/100,0,IF(O11/P11&gt;$O$7/100,3,$M$7*(O11/P11-$P$7/100)/(($O$7-$P$7)/100)))</f>
        <v>1.9865154296263543</v>
      </c>
      <c r="N11" s="39">
        <f t="shared" si="4"/>
        <v>0.88243436197509029</v>
      </c>
      <c r="O11" s="45">
        <v>26256203.5</v>
      </c>
      <c r="P11" s="45">
        <v>29754285</v>
      </c>
      <c r="Q11" s="37">
        <f t="shared" si="5"/>
        <v>5.7978692958672307E-2</v>
      </c>
      <c r="R11" s="39">
        <f t="shared" si="6"/>
        <v>0.75386524619724482</v>
      </c>
      <c r="S11" s="40">
        <f t="shared" si="7"/>
        <v>32200718.890000001</v>
      </c>
      <c r="T11" s="41">
        <v>42714157.539999999</v>
      </c>
      <c r="U11" s="37">
        <f t="shared" si="8"/>
        <v>3</v>
      </c>
      <c r="V11" s="39">
        <f t="shared" si="9"/>
        <v>0</v>
      </c>
      <c r="W11" s="40"/>
      <c r="X11" s="8">
        <v>0</v>
      </c>
      <c r="Y11" s="8">
        <v>0</v>
      </c>
      <c r="Z11" s="8">
        <v>0</v>
      </c>
      <c r="AA11" s="40">
        <v>0</v>
      </c>
      <c r="AB11" s="60">
        <v>15364800</v>
      </c>
      <c r="AC11" s="37">
        <f t="shared" si="10"/>
        <v>3</v>
      </c>
      <c r="AD11" s="38">
        <f t="shared" si="11"/>
        <v>0</v>
      </c>
      <c r="AE11" s="57">
        <v>0</v>
      </c>
      <c r="AF11" s="57">
        <v>9413253.0300000012</v>
      </c>
      <c r="AG11" s="37">
        <f t="shared" si="12"/>
        <v>0</v>
      </c>
      <c r="AH11" s="42">
        <f t="shared" si="13"/>
        <v>1</v>
      </c>
      <c r="AI11" s="61">
        <v>4</v>
      </c>
      <c r="AJ11" s="42">
        <v>7</v>
      </c>
      <c r="AK11" s="37"/>
      <c r="AL11" s="42"/>
      <c r="AM11" s="37"/>
      <c r="AN11" s="37"/>
      <c r="AO11" s="37">
        <f t="shared" si="14"/>
        <v>3</v>
      </c>
      <c r="AP11" s="39">
        <f t="shared" si="15"/>
        <v>0</v>
      </c>
      <c r="AQ11" s="57"/>
      <c r="AR11" s="57">
        <v>32370163</v>
      </c>
      <c r="AS11" s="37">
        <f t="shared" si="16"/>
        <v>1.8024006625816769</v>
      </c>
      <c r="AT11" s="39">
        <f t="shared" si="17"/>
        <v>0.63084023190358685</v>
      </c>
      <c r="AU11" s="45">
        <f t="shared" si="18"/>
        <v>26256203.5</v>
      </c>
      <c r="AV11" s="46">
        <f t="shared" si="19"/>
        <v>15364800</v>
      </c>
      <c r="AW11" s="37">
        <f t="shared" si="20"/>
        <v>2</v>
      </c>
      <c r="AX11" s="39">
        <f>AY11/AZ11-1</f>
        <v>121.77130267357035</v>
      </c>
      <c r="AY11" s="45">
        <f>AU11</f>
        <v>26256203.5</v>
      </c>
      <c r="AZ11" s="46">
        <v>213862.71</v>
      </c>
      <c r="BA11" s="37">
        <v>2</v>
      </c>
      <c r="BB11" s="46">
        <f>AY11</f>
        <v>26256203.5</v>
      </c>
      <c r="BC11" s="46">
        <v>0</v>
      </c>
      <c r="BD11" s="37">
        <f t="shared" si="21"/>
        <v>1</v>
      </c>
      <c r="BE11" s="39">
        <f t="shared" si="22"/>
        <v>0</v>
      </c>
      <c r="BF11" s="37">
        <v>0</v>
      </c>
      <c r="BG11" s="46">
        <v>460124</v>
      </c>
      <c r="BH11" s="37">
        <f t="shared" si="23"/>
        <v>1</v>
      </c>
      <c r="BI11" s="37">
        <v>0</v>
      </c>
      <c r="BJ11" s="46" t="s">
        <v>190</v>
      </c>
      <c r="BK11" s="37">
        <f t="shared" si="24"/>
        <v>4</v>
      </c>
      <c r="BL11" s="38">
        <f t="shared" si="25"/>
        <v>0</v>
      </c>
      <c r="BM11" s="46">
        <v>0</v>
      </c>
      <c r="BN11" s="46">
        <v>6823.11</v>
      </c>
      <c r="BO11" s="46">
        <v>0</v>
      </c>
      <c r="BP11" s="46">
        <v>3681.61</v>
      </c>
      <c r="BQ11" s="37">
        <f>IF(BR11&lt;0.95,0,IF(BR11&lt;1.05,2,0))</f>
        <v>0</v>
      </c>
      <c r="BR11" s="39">
        <f t="shared" si="26"/>
        <v>1.7500001122863376</v>
      </c>
      <c r="BS11" s="62">
        <v>1994900</v>
      </c>
      <c r="BT11" s="37">
        <v>1.6</v>
      </c>
      <c r="BU11" s="37">
        <v>12</v>
      </c>
      <c r="BV11" s="63">
        <v>59372.02</v>
      </c>
      <c r="BW11" s="37">
        <f t="shared" ref="BW11:BW42" si="48">IF(BX11&lt;0.7,0,IF(BX11&lt;0.8,2,0))</f>
        <v>0</v>
      </c>
      <c r="BX11" s="39">
        <f t="shared" si="27"/>
        <v>0.60597194947498079</v>
      </c>
      <c r="BY11" s="10">
        <v>25221160.629999999</v>
      </c>
      <c r="BZ11" s="45">
        <v>41621003.5</v>
      </c>
      <c r="CA11" s="48">
        <f t="shared" si="28"/>
        <v>2</v>
      </c>
      <c r="CB11" s="49">
        <f t="shared" si="29"/>
        <v>1</v>
      </c>
      <c r="CC11" s="37">
        <v>2</v>
      </c>
      <c r="CD11" s="37"/>
      <c r="CE11" s="37">
        <v>2</v>
      </c>
      <c r="CF11" s="37">
        <f t="shared" si="30"/>
        <v>3</v>
      </c>
      <c r="CG11" s="39">
        <f t="shared" si="31"/>
        <v>1</v>
      </c>
      <c r="CH11" s="37">
        <v>1</v>
      </c>
      <c r="CI11" s="37">
        <v>1</v>
      </c>
      <c r="CJ11" s="48">
        <f t="shared" si="32"/>
        <v>5</v>
      </c>
      <c r="CK11" s="37">
        <v>0</v>
      </c>
      <c r="CL11" s="37">
        <f t="shared" si="33"/>
        <v>0</v>
      </c>
      <c r="CM11" s="50">
        <v>81</v>
      </c>
      <c r="CN11" s="50">
        <v>88</v>
      </c>
      <c r="CO11" s="48">
        <f t="shared" si="34"/>
        <v>3</v>
      </c>
      <c r="CP11" s="37"/>
      <c r="CQ11" s="48">
        <f t="shared" si="35"/>
        <v>3</v>
      </c>
      <c r="CR11" s="37"/>
      <c r="CS11" s="37"/>
      <c r="CT11" s="37"/>
      <c r="CU11" s="37"/>
      <c r="CV11" s="37">
        <f t="shared" si="36"/>
        <v>5</v>
      </c>
      <c r="CW11" s="37">
        <v>6</v>
      </c>
      <c r="CX11" s="37">
        <v>6</v>
      </c>
      <c r="CY11" s="51">
        <f t="shared" si="37"/>
        <v>4</v>
      </c>
      <c r="CZ11" s="37"/>
      <c r="DA11" s="37">
        <v>37.21</v>
      </c>
      <c r="DB11" s="37">
        <f t="shared" si="38"/>
        <v>4</v>
      </c>
      <c r="DC11" s="39">
        <f t="shared" si="39"/>
        <v>1</v>
      </c>
      <c r="DD11" s="46">
        <v>64570881.890000001</v>
      </c>
      <c r="DE11" s="46">
        <v>64570881.890000001</v>
      </c>
      <c r="DF11" s="37">
        <f t="shared" si="40"/>
        <v>3</v>
      </c>
      <c r="DG11" s="39">
        <f t="shared" si="41"/>
        <v>0</v>
      </c>
      <c r="DH11" s="46">
        <v>0</v>
      </c>
      <c r="DI11" s="46">
        <v>32370163</v>
      </c>
      <c r="DJ11" s="37">
        <f>IF(DK11&gt;0,0,3)</f>
        <v>3</v>
      </c>
      <c r="DK11" s="37"/>
      <c r="DL11" s="37"/>
      <c r="DM11" s="37">
        <f t="shared" si="42"/>
        <v>5</v>
      </c>
      <c r="DN11" s="52">
        <f t="shared" si="43"/>
        <v>1</v>
      </c>
      <c r="DO11" s="64">
        <v>7</v>
      </c>
      <c r="DP11" s="64">
        <v>7</v>
      </c>
      <c r="DQ11" s="37">
        <f t="shared" si="44"/>
        <v>4</v>
      </c>
      <c r="DR11" s="39">
        <f t="shared" si="45"/>
        <v>1</v>
      </c>
      <c r="DS11" s="64">
        <v>15</v>
      </c>
      <c r="DT11" s="64">
        <v>15</v>
      </c>
      <c r="DU11" s="54">
        <f t="shared" si="46"/>
        <v>69.846894785166711</v>
      </c>
      <c r="DV11" s="55">
        <f t="shared" si="47"/>
        <v>3</v>
      </c>
      <c r="DW11" s="4"/>
    </row>
    <row r="12" spans="1:160" ht="150">
      <c r="A12" s="35">
        <v>1</v>
      </c>
      <c r="B12" s="35">
        <v>10</v>
      </c>
      <c r="C12" s="56" t="s">
        <v>161</v>
      </c>
      <c r="D12" s="56" t="s">
        <v>162</v>
      </c>
      <c r="E12" s="37">
        <f t="shared" si="0"/>
        <v>3</v>
      </c>
      <c r="F12" s="38">
        <f t="shared" si="1"/>
        <v>1</v>
      </c>
      <c r="G12" s="57">
        <v>1125203783.5</v>
      </c>
      <c r="H12" s="57">
        <v>1125203783.5</v>
      </c>
      <c r="I12" s="37">
        <f t="shared" si="2"/>
        <v>3</v>
      </c>
      <c r="J12" s="39">
        <f t="shared" si="3"/>
        <v>1.0004560758369281</v>
      </c>
      <c r="K12" s="46">
        <v>1066098252.72</v>
      </c>
      <c r="L12" s="46">
        <v>1065612252.72</v>
      </c>
      <c r="M12" s="37">
        <f>IF(O12/P12&lt;$P$7/100,0,IF(O12/P12&gt;$O$7/100,3,$M$7*(O12/P12-$P$7/100)/(($O$7-$P$7)/100)))</f>
        <v>3</v>
      </c>
      <c r="N12" s="39">
        <f t="shared" si="4"/>
        <v>1.0007557410207188</v>
      </c>
      <c r="O12" s="45">
        <v>1125689783.5</v>
      </c>
      <c r="P12" s="46">
        <v>1124839696</v>
      </c>
      <c r="Q12" s="37">
        <f t="shared" si="5"/>
        <v>3</v>
      </c>
      <c r="R12" s="39">
        <f t="shared" si="6"/>
        <v>1.0004560758369281</v>
      </c>
      <c r="S12" s="40">
        <f t="shared" si="7"/>
        <v>1066098252.72</v>
      </c>
      <c r="T12" s="41">
        <v>1065612252.72</v>
      </c>
      <c r="U12" s="37">
        <f t="shared" si="8"/>
        <v>3</v>
      </c>
      <c r="V12" s="39">
        <f t="shared" si="9"/>
        <v>-0.15371498281127399</v>
      </c>
      <c r="W12" s="65">
        <v>120120</v>
      </c>
      <c r="X12" s="8">
        <v>0</v>
      </c>
      <c r="Y12" s="8">
        <v>106445612.17</v>
      </c>
      <c r="Z12" s="8">
        <v>43282733.560000002</v>
      </c>
      <c r="AA12" s="40">
        <v>0</v>
      </c>
      <c r="AB12" s="40">
        <v>973283300</v>
      </c>
      <c r="AC12" s="37">
        <f t="shared" si="10"/>
        <v>0</v>
      </c>
      <c r="AD12" s="38">
        <f t="shared" si="11"/>
        <v>0.39385031686659211</v>
      </c>
      <c r="AE12" s="57">
        <v>21744124.789999999</v>
      </c>
      <c r="AF12" s="57">
        <v>55209108.280000016</v>
      </c>
      <c r="AG12" s="37">
        <f t="shared" si="12"/>
        <v>1</v>
      </c>
      <c r="AH12" s="42">
        <f t="shared" si="13"/>
        <v>7</v>
      </c>
      <c r="AI12" s="42">
        <v>22</v>
      </c>
      <c r="AJ12" s="42">
        <v>19</v>
      </c>
      <c r="AK12" s="37"/>
      <c r="AL12" s="42"/>
      <c r="AM12" s="63"/>
      <c r="AN12" s="37"/>
      <c r="AO12" s="37">
        <f t="shared" si="14"/>
        <v>2.9425504352014675</v>
      </c>
      <c r="AP12" s="39">
        <f t="shared" si="15"/>
        <v>1.9149854932844119E-2</v>
      </c>
      <c r="AQ12" s="57">
        <v>21744124.789999999</v>
      </c>
      <c r="AR12" s="57">
        <v>1135472037.0599999</v>
      </c>
      <c r="AS12" s="37">
        <f t="shared" si="16"/>
        <v>1.5323000326057845</v>
      </c>
      <c r="AT12" s="39">
        <f t="shared" si="17"/>
        <v>0.53630501141202458</v>
      </c>
      <c r="AU12" s="45">
        <f t="shared" si="18"/>
        <v>1125689783.5</v>
      </c>
      <c r="AV12" s="46">
        <f t="shared" si="19"/>
        <v>973283300</v>
      </c>
      <c r="AW12" s="37">
        <f t="shared" si="20"/>
        <v>0.6002934738518686</v>
      </c>
      <c r="AX12" s="39">
        <f>AY12/AZ12-1</f>
        <v>7.5036684231483575E-2</v>
      </c>
      <c r="AY12" s="45">
        <f>AU12</f>
        <v>1125689783.5</v>
      </c>
      <c r="AZ12" s="46">
        <v>1047117554.23</v>
      </c>
      <c r="BA12" s="37">
        <v>2</v>
      </c>
      <c r="BB12" s="46">
        <f>AY12</f>
        <v>1125689783.5</v>
      </c>
      <c r="BC12" s="46">
        <v>0</v>
      </c>
      <c r="BD12" s="37">
        <f t="shared" si="21"/>
        <v>1</v>
      </c>
      <c r="BE12" s="39">
        <f t="shared" si="22"/>
        <v>0</v>
      </c>
      <c r="BF12" s="37">
        <v>0</v>
      </c>
      <c r="BG12" s="46">
        <v>19052792.359999999</v>
      </c>
      <c r="BH12" s="37">
        <f t="shared" si="23"/>
        <v>1</v>
      </c>
      <c r="BI12" s="37">
        <v>0</v>
      </c>
      <c r="BJ12" s="46">
        <v>1604376345.9000001</v>
      </c>
      <c r="BK12" s="37">
        <f t="shared" si="24"/>
        <v>4</v>
      </c>
      <c r="BL12" s="38">
        <f t="shared" si="25"/>
        <v>0</v>
      </c>
      <c r="BM12" s="46">
        <v>0</v>
      </c>
      <c r="BN12" s="46">
        <v>1606613.49</v>
      </c>
      <c r="BO12" s="46">
        <v>0</v>
      </c>
      <c r="BP12" s="46">
        <v>40127.71</v>
      </c>
      <c r="BQ12" s="37">
        <v>2</v>
      </c>
      <c r="BR12" s="39">
        <f t="shared" si="26"/>
        <v>1.0762076225063972</v>
      </c>
      <c r="BS12" s="37">
        <v>530900.9</v>
      </c>
      <c r="BT12" s="63">
        <v>335.2</v>
      </c>
      <c r="BU12" s="37">
        <v>12</v>
      </c>
      <c r="BV12" s="63">
        <v>122.64</v>
      </c>
      <c r="BW12" s="37">
        <f t="shared" si="48"/>
        <v>2</v>
      </c>
      <c r="BX12" s="39">
        <f t="shared" si="27"/>
        <v>0.79431154104649571</v>
      </c>
      <c r="BY12" s="46">
        <v>1667238544.5699999</v>
      </c>
      <c r="BZ12" s="45">
        <v>2098973083.5</v>
      </c>
      <c r="CA12" s="48">
        <f t="shared" si="28"/>
        <v>2</v>
      </c>
      <c r="CB12" s="49">
        <f t="shared" si="29"/>
        <v>1.8181818181818181</v>
      </c>
      <c r="CC12" s="37">
        <v>22</v>
      </c>
      <c r="CD12" s="37">
        <v>18</v>
      </c>
      <c r="CE12" s="37">
        <v>22</v>
      </c>
      <c r="CF12" s="37">
        <f t="shared" si="30"/>
        <v>3</v>
      </c>
      <c r="CG12" s="39">
        <f t="shared" si="31"/>
        <v>1</v>
      </c>
      <c r="CH12" s="37">
        <v>1</v>
      </c>
      <c r="CI12" s="37">
        <v>1</v>
      </c>
      <c r="CJ12" s="48">
        <f t="shared" si="32"/>
        <v>0</v>
      </c>
      <c r="CK12" s="63">
        <v>1</v>
      </c>
      <c r="CL12" s="37">
        <f t="shared" si="33"/>
        <v>0</v>
      </c>
      <c r="CM12" s="50">
        <v>76</v>
      </c>
      <c r="CN12" s="50">
        <v>88</v>
      </c>
      <c r="CO12" s="48">
        <f t="shared" si="34"/>
        <v>3</v>
      </c>
      <c r="CP12" s="37"/>
      <c r="CQ12" s="48">
        <f t="shared" si="35"/>
        <v>3</v>
      </c>
      <c r="CR12" s="63"/>
      <c r="CS12" s="37"/>
      <c r="CT12" s="37"/>
      <c r="CU12" s="37"/>
      <c r="CV12" s="37">
        <f t="shared" si="36"/>
        <v>5</v>
      </c>
      <c r="CW12" s="37">
        <v>6</v>
      </c>
      <c r="CX12" s="37">
        <v>6</v>
      </c>
      <c r="CY12" s="51">
        <f t="shared" si="37"/>
        <v>4</v>
      </c>
      <c r="CZ12" s="37"/>
      <c r="DA12" s="37">
        <v>359.2</v>
      </c>
      <c r="DB12" s="37">
        <f t="shared" si="38"/>
        <v>4</v>
      </c>
      <c r="DC12" s="39">
        <f t="shared" si="39"/>
        <v>1</v>
      </c>
      <c r="DD12" s="46">
        <v>2179706044.9899998</v>
      </c>
      <c r="DE12" s="46">
        <v>2179706044.9899998</v>
      </c>
      <c r="DF12" s="37">
        <f t="shared" si="40"/>
        <v>3</v>
      </c>
      <c r="DG12" s="39">
        <f t="shared" si="41"/>
        <v>0</v>
      </c>
      <c r="DH12" s="46">
        <v>0</v>
      </c>
      <c r="DI12" s="46">
        <v>1113607792.27</v>
      </c>
      <c r="DJ12" s="37"/>
      <c r="DK12" s="37"/>
      <c r="DL12" s="37"/>
      <c r="DM12" s="37">
        <f t="shared" si="42"/>
        <v>5</v>
      </c>
      <c r="DN12" s="52">
        <f t="shared" si="43"/>
        <v>1</v>
      </c>
      <c r="DO12" s="64">
        <v>140</v>
      </c>
      <c r="DP12" s="64">
        <v>140</v>
      </c>
      <c r="DQ12" s="37">
        <f t="shared" si="44"/>
        <v>3.9965569184420056</v>
      </c>
      <c r="DR12" s="39">
        <f t="shared" si="45"/>
        <v>0.99935442220787607</v>
      </c>
      <c r="DS12" s="64">
        <v>1548</v>
      </c>
      <c r="DT12" s="64">
        <v>1549</v>
      </c>
      <c r="DU12" s="54">
        <f t="shared" si="46"/>
        <v>69.071700860101132</v>
      </c>
      <c r="DV12" s="55">
        <f t="shared" si="47"/>
        <v>4</v>
      </c>
      <c r="DW12" s="4"/>
    </row>
    <row r="13" spans="1:160" ht="120">
      <c r="A13" s="35">
        <v>13</v>
      </c>
      <c r="B13" s="35">
        <v>27</v>
      </c>
      <c r="C13" s="56" t="s">
        <v>164</v>
      </c>
      <c r="D13" s="56" t="s">
        <v>176</v>
      </c>
      <c r="E13" s="37">
        <f t="shared" si="0"/>
        <v>0</v>
      </c>
      <c r="F13" s="38">
        <f t="shared" si="1"/>
        <v>1.1166718625541125</v>
      </c>
      <c r="G13" s="57">
        <v>10318048.01</v>
      </c>
      <c r="H13" s="57">
        <v>9240000</v>
      </c>
      <c r="I13" s="37">
        <f t="shared" si="2"/>
        <v>3</v>
      </c>
      <c r="J13" s="39">
        <f t="shared" si="3"/>
        <v>0.99999994263656677</v>
      </c>
      <c r="K13" s="46">
        <v>8367699.5199999996</v>
      </c>
      <c r="L13" s="46">
        <v>8367700</v>
      </c>
      <c r="M13" s="37">
        <f>IF(O13/P13&lt;$P$7/100,0,IF(O13/P13&gt;$O$7/100,3,$M$7*(O13/P13-$P$7/100)/(($O$7-$P$7)/100)))</f>
        <v>3</v>
      </c>
      <c r="N13" s="39">
        <f t="shared" si="4"/>
        <v>1.8591511363636364</v>
      </c>
      <c r="O13" s="45">
        <v>10225331.25</v>
      </c>
      <c r="P13" s="46">
        <v>5500000</v>
      </c>
      <c r="Q13" s="37">
        <f t="shared" si="5"/>
        <v>3</v>
      </c>
      <c r="R13" s="39">
        <f t="shared" si="6"/>
        <v>0.99999994263656677</v>
      </c>
      <c r="S13" s="40">
        <f t="shared" si="7"/>
        <v>8367699.5199999996</v>
      </c>
      <c r="T13" s="41">
        <v>8367700</v>
      </c>
      <c r="U13" s="37">
        <f t="shared" si="8"/>
        <v>3</v>
      </c>
      <c r="V13" s="39">
        <f t="shared" si="9"/>
        <v>-8.2711389634057247E-2</v>
      </c>
      <c r="W13" s="65" t="s">
        <v>166</v>
      </c>
      <c r="X13" s="8">
        <v>0</v>
      </c>
      <c r="Y13" s="8">
        <v>4500000</v>
      </c>
      <c r="Z13" s="8">
        <v>4500000</v>
      </c>
      <c r="AA13" s="40">
        <v>0</v>
      </c>
      <c r="AB13" s="40">
        <v>108812100</v>
      </c>
      <c r="AC13" s="37">
        <f t="shared" si="10"/>
        <v>3</v>
      </c>
      <c r="AD13" s="38">
        <f t="shared" si="11"/>
        <v>1.5077673331509662E-6</v>
      </c>
      <c r="AE13" s="57">
        <v>20</v>
      </c>
      <c r="AF13" s="57">
        <v>13264646.050000001</v>
      </c>
      <c r="AG13" s="37">
        <f t="shared" si="12"/>
        <v>0</v>
      </c>
      <c r="AH13" s="42">
        <f t="shared" si="13"/>
        <v>-9</v>
      </c>
      <c r="AI13" s="42">
        <v>12</v>
      </c>
      <c r="AJ13" s="42">
        <v>25</v>
      </c>
      <c r="AK13" s="37"/>
      <c r="AL13" s="42"/>
      <c r="AM13" s="37"/>
      <c r="AN13" s="37"/>
      <c r="AO13" s="37">
        <f t="shared" si="14"/>
        <v>2.9999995644672239</v>
      </c>
      <c r="AP13" s="39">
        <f t="shared" si="15"/>
        <v>1.4517759200998282E-7</v>
      </c>
      <c r="AQ13" s="57">
        <v>20</v>
      </c>
      <c r="AR13" s="57">
        <v>137762307</v>
      </c>
      <c r="AS13" s="37">
        <f t="shared" si="16"/>
        <v>0</v>
      </c>
      <c r="AT13" s="39">
        <f t="shared" si="17"/>
        <v>8.590013361868476E-2</v>
      </c>
      <c r="AU13" s="45">
        <f t="shared" si="18"/>
        <v>10225331.25</v>
      </c>
      <c r="AV13" s="46">
        <f t="shared" si="19"/>
        <v>108812100</v>
      </c>
      <c r="AW13" s="37">
        <f t="shared" si="20"/>
        <v>2</v>
      </c>
      <c r="AX13" s="39">
        <f>AY13/AZ13-1</f>
        <v>0.34607835605939141</v>
      </c>
      <c r="AY13" s="45">
        <f>AU13</f>
        <v>10225331.25</v>
      </c>
      <c r="AZ13" s="46">
        <v>7596386.3499999996</v>
      </c>
      <c r="BA13" s="37">
        <v>2</v>
      </c>
      <c r="BB13" s="46">
        <f>AY13</f>
        <v>10225331.25</v>
      </c>
      <c r="BC13" s="46">
        <v>0</v>
      </c>
      <c r="BD13" s="37">
        <f t="shared" si="21"/>
        <v>1</v>
      </c>
      <c r="BE13" s="39">
        <f t="shared" si="22"/>
        <v>0</v>
      </c>
      <c r="BF13" s="37">
        <v>0</v>
      </c>
      <c r="BG13" s="46">
        <v>20</v>
      </c>
      <c r="BH13" s="37">
        <f t="shared" si="23"/>
        <v>1</v>
      </c>
      <c r="BI13" s="37">
        <v>0</v>
      </c>
      <c r="BJ13" s="46">
        <v>42636.56</v>
      </c>
      <c r="BK13" s="37">
        <f t="shared" si="24"/>
        <v>4</v>
      </c>
      <c r="BL13" s="38">
        <f t="shared" si="25"/>
        <v>0</v>
      </c>
      <c r="BM13" s="46">
        <v>0</v>
      </c>
      <c r="BN13" s="46">
        <v>63607.91</v>
      </c>
      <c r="BO13" s="46">
        <v>0</v>
      </c>
      <c r="BP13" s="46">
        <v>11478.65</v>
      </c>
      <c r="BQ13" s="37">
        <f t="shared" ref="BQ13:BQ44" si="49">IF(BR13&lt;0.95,0,IF(BR13&lt;1.05,2,0))</f>
        <v>0</v>
      </c>
      <c r="BR13" s="39">
        <f t="shared" si="26"/>
        <v>1.2385399892646269</v>
      </c>
      <c r="BS13" s="37">
        <v>32303600</v>
      </c>
      <c r="BT13" s="37">
        <v>35</v>
      </c>
      <c r="BU13" s="37">
        <v>12</v>
      </c>
      <c r="BV13" s="63">
        <v>62100</v>
      </c>
      <c r="BW13" s="37">
        <f t="shared" si="48"/>
        <v>2</v>
      </c>
      <c r="BX13" s="39">
        <f t="shared" si="27"/>
        <v>0.70604945450719314</v>
      </c>
      <c r="BY13" s="46">
        <f>64551.7*1000*1.302</f>
        <v>84046313.400000006</v>
      </c>
      <c r="BZ13" s="45">
        <v>119037431.25</v>
      </c>
      <c r="CA13" s="48">
        <f t="shared" si="28"/>
        <v>2</v>
      </c>
      <c r="CB13" s="49">
        <f t="shared" si="29"/>
        <v>1.3333333333333333</v>
      </c>
      <c r="CC13" s="37">
        <v>3</v>
      </c>
      <c r="CD13" s="37">
        <v>1</v>
      </c>
      <c r="CE13" s="37">
        <v>3</v>
      </c>
      <c r="CF13" s="37">
        <f t="shared" si="30"/>
        <v>3</v>
      </c>
      <c r="CG13" s="39">
        <f t="shared" si="31"/>
        <v>1</v>
      </c>
      <c r="CH13" s="37">
        <v>3</v>
      </c>
      <c r="CI13" s="37">
        <v>3</v>
      </c>
      <c r="CJ13" s="48">
        <f t="shared" si="32"/>
        <v>0</v>
      </c>
      <c r="CK13" s="37">
        <v>1</v>
      </c>
      <c r="CL13" s="37">
        <f t="shared" si="33"/>
        <v>0</v>
      </c>
      <c r="CM13" s="50">
        <v>83</v>
      </c>
      <c r="CN13" s="50">
        <v>88</v>
      </c>
      <c r="CO13" s="48">
        <f t="shared" si="34"/>
        <v>3</v>
      </c>
      <c r="CP13" s="37"/>
      <c r="CQ13" s="48">
        <f t="shared" si="35"/>
        <v>3</v>
      </c>
      <c r="CR13" s="37"/>
      <c r="CS13" s="37"/>
      <c r="CT13" s="37"/>
      <c r="CU13" s="37"/>
      <c r="CV13" s="37">
        <f t="shared" si="36"/>
        <v>5</v>
      </c>
      <c r="CW13" s="37">
        <v>6</v>
      </c>
      <c r="CX13" s="37">
        <v>6</v>
      </c>
      <c r="CY13" s="51">
        <f t="shared" si="37"/>
        <v>4</v>
      </c>
      <c r="CZ13" s="37"/>
      <c r="DA13" s="37">
        <v>43</v>
      </c>
      <c r="DB13" s="37">
        <f t="shared" si="38"/>
        <v>4</v>
      </c>
      <c r="DC13" s="39">
        <f t="shared" si="39"/>
        <v>1</v>
      </c>
      <c r="DD13" s="46">
        <v>146129986.52000001</v>
      </c>
      <c r="DE13" s="46">
        <v>146129986.52000001</v>
      </c>
      <c r="DF13" s="37">
        <f t="shared" si="40"/>
        <v>3</v>
      </c>
      <c r="DG13" s="39">
        <f t="shared" si="41"/>
        <v>0</v>
      </c>
      <c r="DH13" s="46">
        <v>0</v>
      </c>
      <c r="DI13" s="46">
        <v>137762287</v>
      </c>
      <c r="DJ13" s="37">
        <f t="shared" ref="DJ13:DJ31" si="50">IF(DK13&gt;0,0,3)</f>
        <v>3</v>
      </c>
      <c r="DK13" s="37"/>
      <c r="DL13" s="37"/>
      <c r="DM13" s="37">
        <f t="shared" si="42"/>
        <v>5</v>
      </c>
      <c r="DN13" s="52">
        <f t="shared" si="43"/>
        <v>1</v>
      </c>
      <c r="DO13" s="64">
        <v>9</v>
      </c>
      <c r="DP13" s="64">
        <v>9</v>
      </c>
      <c r="DQ13" s="37">
        <f t="shared" si="44"/>
        <v>4</v>
      </c>
      <c r="DR13" s="39">
        <f t="shared" si="45"/>
        <v>1</v>
      </c>
      <c r="DS13" s="64">
        <v>74</v>
      </c>
      <c r="DT13" s="64">
        <v>74</v>
      </c>
      <c r="DU13" s="54">
        <f t="shared" si="46"/>
        <v>68.999999564467231</v>
      </c>
      <c r="DV13" s="55">
        <f t="shared" si="47"/>
        <v>5</v>
      </c>
      <c r="DW13" s="4"/>
    </row>
    <row r="14" spans="1:160" ht="150">
      <c r="A14" s="35">
        <v>49</v>
      </c>
      <c r="B14" s="35">
        <v>55</v>
      </c>
      <c r="C14" s="56" t="s">
        <v>164</v>
      </c>
      <c r="D14" s="56" t="s">
        <v>215</v>
      </c>
      <c r="E14" s="37">
        <f t="shared" si="0"/>
        <v>3</v>
      </c>
      <c r="F14" s="38">
        <f t="shared" si="1"/>
        <v>1</v>
      </c>
      <c r="G14" s="57">
        <v>32856</v>
      </c>
      <c r="H14" s="57">
        <v>32856</v>
      </c>
      <c r="I14" s="37">
        <f t="shared" si="2"/>
        <v>3</v>
      </c>
      <c r="J14" s="39">
        <f t="shared" si="3"/>
        <v>1</v>
      </c>
      <c r="K14" s="46">
        <v>32856</v>
      </c>
      <c r="L14" s="46">
        <v>32856</v>
      </c>
      <c r="M14" s="37"/>
      <c r="N14" s="39">
        <f t="shared" si="4"/>
        <v>0</v>
      </c>
      <c r="O14" s="45">
        <v>32856</v>
      </c>
      <c r="P14" s="46">
        <v>0</v>
      </c>
      <c r="Q14" s="37">
        <f t="shared" si="5"/>
        <v>3</v>
      </c>
      <c r="R14" s="39">
        <f t="shared" si="6"/>
        <v>1</v>
      </c>
      <c r="S14" s="40">
        <f t="shared" si="7"/>
        <v>32856</v>
      </c>
      <c r="T14" s="41">
        <v>32856</v>
      </c>
      <c r="U14" s="37">
        <f t="shared" si="8"/>
        <v>3</v>
      </c>
      <c r="V14" s="39">
        <f t="shared" si="9"/>
        <v>-0.14486026167504862</v>
      </c>
      <c r="W14" s="40">
        <v>0</v>
      </c>
      <c r="X14" s="8">
        <v>0</v>
      </c>
      <c r="Y14" s="8">
        <v>5118478</v>
      </c>
      <c r="Z14" s="8">
        <v>5118478</v>
      </c>
      <c r="AA14" s="40">
        <v>0</v>
      </c>
      <c r="AB14" s="40">
        <v>70667800</v>
      </c>
      <c r="AC14" s="37">
        <f t="shared" si="10"/>
        <v>3</v>
      </c>
      <c r="AD14" s="38">
        <f t="shared" si="11"/>
        <v>0</v>
      </c>
      <c r="AE14" s="57">
        <v>0</v>
      </c>
      <c r="AF14" s="57">
        <v>796896.71</v>
      </c>
      <c r="AG14" s="37">
        <f t="shared" si="12"/>
        <v>1</v>
      </c>
      <c r="AH14" s="42">
        <f t="shared" si="13"/>
        <v>4</v>
      </c>
      <c r="AI14" s="42">
        <v>20</v>
      </c>
      <c r="AJ14" s="42">
        <v>20</v>
      </c>
      <c r="AK14" s="37"/>
      <c r="AL14" s="42"/>
      <c r="AM14" s="37"/>
      <c r="AN14" s="37"/>
      <c r="AO14" s="37">
        <f t="shared" si="14"/>
        <v>3</v>
      </c>
      <c r="AP14" s="39">
        <f t="shared" si="15"/>
        <v>0</v>
      </c>
      <c r="AQ14" s="57"/>
      <c r="AR14" s="57">
        <v>74711154</v>
      </c>
      <c r="AS14" s="37">
        <f t="shared" si="16"/>
        <v>0</v>
      </c>
      <c r="AT14" s="39">
        <f t="shared" si="17"/>
        <v>4.6471987473496713E-4</v>
      </c>
      <c r="AU14" s="45">
        <f t="shared" si="18"/>
        <v>32856</v>
      </c>
      <c r="AV14" s="46">
        <f t="shared" si="19"/>
        <v>70667800</v>
      </c>
      <c r="AW14" s="37">
        <f t="shared" si="20"/>
        <v>2</v>
      </c>
      <c r="AX14" s="39">
        <v>1</v>
      </c>
      <c r="AY14" s="66">
        <v>32856</v>
      </c>
      <c r="AZ14" s="37" t="s">
        <v>212</v>
      </c>
      <c r="BA14" s="37">
        <v>2</v>
      </c>
      <c r="BB14" s="37">
        <v>32856</v>
      </c>
      <c r="BC14" s="37">
        <v>0</v>
      </c>
      <c r="BD14" s="37">
        <f t="shared" si="21"/>
        <v>1</v>
      </c>
      <c r="BE14" s="39">
        <f t="shared" si="22"/>
        <v>0</v>
      </c>
      <c r="BF14" s="37">
        <v>0</v>
      </c>
      <c r="BG14" s="37">
        <v>0</v>
      </c>
      <c r="BH14" s="37">
        <f t="shared" si="23"/>
        <v>1</v>
      </c>
      <c r="BI14" s="37">
        <v>0</v>
      </c>
      <c r="BJ14" s="37">
        <v>6703000.6799999997</v>
      </c>
      <c r="BK14" s="37">
        <f t="shared" si="24"/>
        <v>4</v>
      </c>
      <c r="BL14" s="38">
        <f t="shared" si="25"/>
        <v>0</v>
      </c>
      <c r="BM14" s="37">
        <v>0</v>
      </c>
      <c r="BN14" s="37">
        <v>1480.46</v>
      </c>
      <c r="BO14" s="37">
        <v>0</v>
      </c>
      <c r="BP14" s="37">
        <v>3456.54</v>
      </c>
      <c r="BQ14" s="37">
        <f t="shared" si="49"/>
        <v>0</v>
      </c>
      <c r="BR14" s="39">
        <f t="shared" si="26"/>
        <v>1.0589604943956274</v>
      </c>
      <c r="BS14" s="37">
        <v>31792400</v>
      </c>
      <c r="BT14" s="37">
        <v>40.799999999999997</v>
      </c>
      <c r="BU14" s="37">
        <v>12</v>
      </c>
      <c r="BV14" s="44">
        <v>61320</v>
      </c>
      <c r="BW14" s="37">
        <f t="shared" si="48"/>
        <v>0</v>
      </c>
      <c r="BX14" s="39">
        <f t="shared" si="27"/>
        <v>0.84781205453030029</v>
      </c>
      <c r="BY14" s="37">
        <v>59940868.420000002</v>
      </c>
      <c r="BZ14" s="66">
        <v>70700656</v>
      </c>
      <c r="CA14" s="48">
        <f t="shared" si="28"/>
        <v>2</v>
      </c>
      <c r="CB14" s="49">
        <f t="shared" si="29"/>
        <v>2</v>
      </c>
      <c r="CC14" s="37">
        <v>2</v>
      </c>
      <c r="CD14" s="37">
        <v>2</v>
      </c>
      <c r="CE14" s="37">
        <v>2</v>
      </c>
      <c r="CF14" s="37">
        <f t="shared" si="30"/>
        <v>3</v>
      </c>
      <c r="CG14" s="39">
        <f t="shared" si="31"/>
        <v>1</v>
      </c>
      <c r="CH14" s="37">
        <v>1</v>
      </c>
      <c r="CI14" s="37">
        <v>1</v>
      </c>
      <c r="CJ14" s="48">
        <f t="shared" si="32"/>
        <v>0</v>
      </c>
      <c r="CK14" s="37">
        <v>1</v>
      </c>
      <c r="CL14" s="37">
        <f t="shared" si="33"/>
        <v>0</v>
      </c>
      <c r="CM14" s="37">
        <v>81</v>
      </c>
      <c r="CN14" s="50">
        <v>88</v>
      </c>
      <c r="CO14" s="48">
        <f t="shared" si="34"/>
        <v>3</v>
      </c>
      <c r="CP14" s="37"/>
      <c r="CQ14" s="48">
        <f t="shared" si="35"/>
        <v>3</v>
      </c>
      <c r="CR14" s="37"/>
      <c r="CS14" s="37"/>
      <c r="CT14" s="37"/>
      <c r="CU14" s="37"/>
      <c r="CV14" s="37">
        <f t="shared" si="36"/>
        <v>5</v>
      </c>
      <c r="CW14" s="37">
        <v>6</v>
      </c>
      <c r="CX14" s="37">
        <v>6</v>
      </c>
      <c r="CY14" s="51">
        <f t="shared" si="37"/>
        <v>4</v>
      </c>
      <c r="CZ14" s="37"/>
      <c r="DA14" s="37">
        <v>12.3</v>
      </c>
      <c r="DB14" s="37">
        <f t="shared" si="38"/>
        <v>4</v>
      </c>
      <c r="DC14" s="39">
        <f t="shared" si="39"/>
        <v>1</v>
      </c>
      <c r="DD14" s="44">
        <v>74744</v>
      </c>
      <c r="DE14" s="44">
        <v>74744</v>
      </c>
      <c r="DF14" s="37">
        <f t="shared" si="40"/>
        <v>3</v>
      </c>
      <c r="DG14" s="39">
        <f t="shared" si="41"/>
        <v>0</v>
      </c>
      <c r="DH14" s="46">
        <v>0</v>
      </c>
      <c r="DI14" s="11">
        <v>74744</v>
      </c>
      <c r="DJ14" s="37">
        <f t="shared" si="50"/>
        <v>3</v>
      </c>
      <c r="DK14" s="37"/>
      <c r="DL14" s="37"/>
      <c r="DM14" s="37">
        <f t="shared" si="42"/>
        <v>5</v>
      </c>
      <c r="DN14" s="52">
        <f t="shared" si="43"/>
        <v>1</v>
      </c>
      <c r="DO14" s="53">
        <v>30</v>
      </c>
      <c r="DP14" s="53">
        <v>30</v>
      </c>
      <c r="DQ14" s="37">
        <f t="shared" si="44"/>
        <v>4</v>
      </c>
      <c r="DR14" s="39">
        <f t="shared" si="45"/>
        <v>1</v>
      </c>
      <c r="DS14" s="58">
        <v>81</v>
      </c>
      <c r="DT14" s="58">
        <v>81</v>
      </c>
      <c r="DU14" s="54">
        <f t="shared" si="46"/>
        <v>68</v>
      </c>
      <c r="DV14" s="55">
        <f t="shared" si="47"/>
        <v>6</v>
      </c>
      <c r="DW14" s="4"/>
    </row>
    <row r="15" spans="1:160" ht="135">
      <c r="A15" s="35">
        <v>25</v>
      </c>
      <c r="B15" s="35">
        <v>13</v>
      </c>
      <c r="C15" s="56" t="s">
        <v>161</v>
      </c>
      <c r="D15" s="56" t="s">
        <v>188</v>
      </c>
      <c r="E15" s="37">
        <f t="shared" si="0"/>
        <v>3</v>
      </c>
      <c r="F15" s="38">
        <f t="shared" si="1"/>
        <v>0.99050091124979289</v>
      </c>
      <c r="G15" s="57">
        <v>35870000</v>
      </c>
      <c r="H15" s="57">
        <v>36214000</v>
      </c>
      <c r="I15" s="37">
        <f t="shared" si="2"/>
        <v>0</v>
      </c>
      <c r="J15" s="39">
        <f t="shared" si="3"/>
        <v>0.73396119655298875</v>
      </c>
      <c r="K15" s="46">
        <v>30284849.309999999</v>
      </c>
      <c r="L15" s="46">
        <v>41262194.039999999</v>
      </c>
      <c r="M15" s="37">
        <f>IF(O15/P15&lt;$P$7/100,0,IF(O15/P15&gt;$O$7/100,3,$M$7*(O15/P15-$P$7/100)/(($O$7-$P$7)/100)))</f>
        <v>3</v>
      </c>
      <c r="N15" s="39">
        <f t="shared" si="4"/>
        <v>1.1376527869565216</v>
      </c>
      <c r="O15" s="45">
        <v>34015818.329999998</v>
      </c>
      <c r="P15" s="46">
        <v>29900000</v>
      </c>
      <c r="Q15" s="37">
        <f t="shared" si="5"/>
        <v>0</v>
      </c>
      <c r="R15" s="39">
        <f t="shared" si="6"/>
        <v>0.73396119655298875</v>
      </c>
      <c r="S15" s="40">
        <f t="shared" si="7"/>
        <v>30284849.309999999</v>
      </c>
      <c r="T15" s="41">
        <v>41262194.039999999</v>
      </c>
      <c r="U15" s="37">
        <f t="shared" si="8"/>
        <v>3</v>
      </c>
      <c r="V15" s="39">
        <f t="shared" si="9"/>
        <v>-9.5812008609130847E-2</v>
      </c>
      <c r="W15" s="65" t="s">
        <v>166</v>
      </c>
      <c r="X15" s="8">
        <v>0</v>
      </c>
      <c r="Y15" s="8">
        <v>6588596.9800000004</v>
      </c>
      <c r="Z15" s="8">
        <v>6555333.1799999997</v>
      </c>
      <c r="AA15" s="40">
        <v>0</v>
      </c>
      <c r="AB15" s="40">
        <v>137184580</v>
      </c>
      <c r="AC15" s="37">
        <f t="shared" si="10"/>
        <v>0</v>
      </c>
      <c r="AD15" s="38">
        <f t="shared" si="11"/>
        <v>0.30824544056581532</v>
      </c>
      <c r="AE15" s="57">
        <v>2523300</v>
      </c>
      <c r="AF15" s="57">
        <v>8186009.1600000001</v>
      </c>
      <c r="AG15" s="37">
        <f t="shared" si="12"/>
        <v>0</v>
      </c>
      <c r="AH15" s="42">
        <f t="shared" si="13"/>
        <v>27</v>
      </c>
      <c r="AI15" s="42">
        <v>31</v>
      </c>
      <c r="AJ15" s="42">
        <v>8</v>
      </c>
      <c r="AK15" s="37"/>
      <c r="AL15" s="42"/>
      <c r="AM15" s="37"/>
      <c r="AN15" s="37"/>
      <c r="AO15" s="37">
        <f t="shared" si="14"/>
        <v>2.9570732859466098</v>
      </c>
      <c r="AP15" s="39">
        <f t="shared" si="15"/>
        <v>1.4308904684463298E-2</v>
      </c>
      <c r="AQ15" s="57">
        <v>2523300</v>
      </c>
      <c r="AR15" s="57">
        <v>176344734.66999999</v>
      </c>
      <c r="AS15" s="37">
        <f t="shared" si="16"/>
        <v>0</v>
      </c>
      <c r="AT15" s="39">
        <f t="shared" si="17"/>
        <v>0.19869006533753666</v>
      </c>
      <c r="AU15" s="45">
        <f t="shared" si="18"/>
        <v>34015818.329999998</v>
      </c>
      <c r="AV15" s="46">
        <f t="shared" si="19"/>
        <v>137184580</v>
      </c>
      <c r="AW15" s="37">
        <f t="shared" si="20"/>
        <v>2</v>
      </c>
      <c r="AX15" s="39">
        <f>AY15/AZ15-1</f>
        <v>0.12853849568083286</v>
      </c>
      <c r="AY15" s="45">
        <f>AU15</f>
        <v>34015818.329999998</v>
      </c>
      <c r="AZ15" s="46">
        <v>30141478.079999998</v>
      </c>
      <c r="BA15" s="37">
        <v>2</v>
      </c>
      <c r="BB15" s="46">
        <f>AY15</f>
        <v>34015818.329999998</v>
      </c>
      <c r="BC15" s="46">
        <v>0</v>
      </c>
      <c r="BD15" s="37">
        <f t="shared" si="21"/>
        <v>1</v>
      </c>
      <c r="BE15" s="39">
        <f t="shared" si="22"/>
        <v>0</v>
      </c>
      <c r="BF15" s="37">
        <v>0</v>
      </c>
      <c r="BG15" s="46">
        <v>2185385.81</v>
      </c>
      <c r="BH15" s="37">
        <f t="shared" si="23"/>
        <v>1</v>
      </c>
      <c r="BI15" s="37">
        <v>0</v>
      </c>
      <c r="BJ15" s="46">
        <v>67517273.969999999</v>
      </c>
      <c r="BK15" s="37">
        <f t="shared" si="24"/>
        <v>4</v>
      </c>
      <c r="BL15" s="38">
        <f t="shared" si="25"/>
        <v>0</v>
      </c>
      <c r="BM15" s="46">
        <v>0</v>
      </c>
      <c r="BN15" s="46">
        <v>52183.98</v>
      </c>
      <c r="BO15" s="46">
        <v>0</v>
      </c>
      <c r="BP15" s="46">
        <v>9615.89</v>
      </c>
      <c r="BQ15" s="37">
        <f t="shared" si="49"/>
        <v>0</v>
      </c>
      <c r="BR15" s="39">
        <f t="shared" si="26"/>
        <v>1.1115136876006442</v>
      </c>
      <c r="BS15" s="37">
        <v>28162200</v>
      </c>
      <c r="BT15" s="37">
        <v>34</v>
      </c>
      <c r="BU15" s="37">
        <v>12</v>
      </c>
      <c r="BV15" s="63">
        <v>62100</v>
      </c>
      <c r="BW15" s="37">
        <f t="shared" si="48"/>
        <v>2</v>
      </c>
      <c r="BX15" s="39">
        <f t="shared" si="27"/>
        <v>0.71615309074029998</v>
      </c>
      <c r="BY15" s="46">
        <f>94167.2*1000*1.302</f>
        <v>122605694.40000001</v>
      </c>
      <c r="BZ15" s="45">
        <v>171200398.33000001</v>
      </c>
      <c r="CA15" s="48">
        <f t="shared" si="28"/>
        <v>2</v>
      </c>
      <c r="CB15" s="49">
        <f t="shared" si="29"/>
        <v>1</v>
      </c>
      <c r="CC15" s="37">
        <v>4</v>
      </c>
      <c r="CD15" s="37">
        <v>0</v>
      </c>
      <c r="CE15" s="37">
        <v>4</v>
      </c>
      <c r="CF15" s="37">
        <f t="shared" si="30"/>
        <v>3</v>
      </c>
      <c r="CG15" s="39">
        <f t="shared" si="31"/>
        <v>1</v>
      </c>
      <c r="CH15" s="37">
        <v>2</v>
      </c>
      <c r="CI15" s="37">
        <v>2</v>
      </c>
      <c r="CJ15" s="48">
        <f t="shared" si="32"/>
        <v>5</v>
      </c>
      <c r="CK15" s="37">
        <v>0</v>
      </c>
      <c r="CL15" s="37">
        <f t="shared" si="33"/>
        <v>0</v>
      </c>
      <c r="CM15" s="50">
        <v>78</v>
      </c>
      <c r="CN15" s="50">
        <v>88</v>
      </c>
      <c r="CO15" s="48">
        <f t="shared" si="34"/>
        <v>3</v>
      </c>
      <c r="CP15" s="37"/>
      <c r="CQ15" s="48">
        <f t="shared" si="35"/>
        <v>3</v>
      </c>
      <c r="CR15" s="37"/>
      <c r="CS15" s="37"/>
      <c r="CT15" s="37"/>
      <c r="CU15" s="37"/>
      <c r="CV15" s="37">
        <f t="shared" si="36"/>
        <v>5</v>
      </c>
      <c r="CW15" s="37">
        <v>6</v>
      </c>
      <c r="CX15" s="37">
        <v>6</v>
      </c>
      <c r="CY15" s="51">
        <f t="shared" si="37"/>
        <v>4</v>
      </c>
      <c r="CZ15" s="37"/>
      <c r="DA15" s="37">
        <v>102</v>
      </c>
      <c r="DB15" s="37">
        <f t="shared" si="38"/>
        <v>4</v>
      </c>
      <c r="DC15" s="39">
        <f t="shared" si="39"/>
        <v>1</v>
      </c>
      <c r="DD15" s="46">
        <v>204106283.97999999</v>
      </c>
      <c r="DE15" s="46">
        <v>204106283.97999999</v>
      </c>
      <c r="DF15" s="37">
        <f t="shared" si="40"/>
        <v>3</v>
      </c>
      <c r="DG15" s="39">
        <f t="shared" si="41"/>
        <v>0</v>
      </c>
      <c r="DH15" s="46">
        <v>0</v>
      </c>
      <c r="DI15" s="46">
        <v>173821434.66999999</v>
      </c>
      <c r="DJ15" s="37">
        <f t="shared" si="50"/>
        <v>3</v>
      </c>
      <c r="DK15" s="37"/>
      <c r="DL15" s="37"/>
      <c r="DM15" s="37">
        <f t="shared" si="42"/>
        <v>5</v>
      </c>
      <c r="DN15" s="52">
        <f t="shared" si="43"/>
        <v>1</v>
      </c>
      <c r="DO15" s="64">
        <v>22</v>
      </c>
      <c r="DP15" s="64">
        <v>22</v>
      </c>
      <c r="DQ15" s="37">
        <f t="shared" si="44"/>
        <v>4</v>
      </c>
      <c r="DR15" s="39">
        <f t="shared" si="45"/>
        <v>1</v>
      </c>
      <c r="DS15" s="64">
        <v>139</v>
      </c>
      <c r="DT15" s="64">
        <v>139</v>
      </c>
      <c r="DU15" s="54">
        <f t="shared" si="46"/>
        <v>67.957073285946606</v>
      </c>
      <c r="DV15" s="55">
        <f t="shared" si="47"/>
        <v>7</v>
      </c>
      <c r="DW15" s="4"/>
    </row>
    <row r="16" spans="1:160" ht="150">
      <c r="A16" s="35">
        <v>58</v>
      </c>
      <c r="B16" s="35">
        <v>11</v>
      </c>
      <c r="C16" s="56" t="s">
        <v>161</v>
      </c>
      <c r="D16" s="67" t="s">
        <v>227</v>
      </c>
      <c r="E16" s="37">
        <f t="shared" si="0"/>
        <v>3</v>
      </c>
      <c r="F16" s="38">
        <f t="shared" si="1"/>
        <v>1</v>
      </c>
      <c r="G16" s="57">
        <v>18845999.100000001</v>
      </c>
      <c r="H16" s="57">
        <v>18845999.100000001</v>
      </c>
      <c r="I16" s="37">
        <f t="shared" si="2"/>
        <v>3</v>
      </c>
      <c r="J16" s="39">
        <f t="shared" si="3"/>
        <v>1000.000016028046</v>
      </c>
      <c r="K16" s="46">
        <v>20588910.329999998</v>
      </c>
      <c r="L16" s="46">
        <v>20588.91</v>
      </c>
      <c r="M16" s="37">
        <f>IF(O16/P16&lt;$P$7/100,0,IF(O16/P16&gt;$O$7/100,3,$M$7*(O16/P16-$P$7/100)/(($O$7-$P$7)/100)))</f>
        <v>3</v>
      </c>
      <c r="N16" s="39">
        <f t="shared" si="4"/>
        <v>1.2456586066666668</v>
      </c>
      <c r="O16" s="45">
        <v>18684879.100000001</v>
      </c>
      <c r="P16" s="46">
        <v>15000000</v>
      </c>
      <c r="Q16" s="37">
        <f t="shared" si="5"/>
        <v>3</v>
      </c>
      <c r="R16" s="39">
        <f t="shared" si="6"/>
        <v>1.3725940219999999</v>
      </c>
      <c r="S16" s="40">
        <f t="shared" si="7"/>
        <v>20588910.329999998</v>
      </c>
      <c r="T16" s="41">
        <v>15000000</v>
      </c>
      <c r="U16" s="37">
        <f t="shared" si="8"/>
        <v>3</v>
      </c>
      <c r="V16" s="39">
        <f t="shared" si="9"/>
        <v>7.2130272971700259E-5</v>
      </c>
      <c r="W16" s="65"/>
      <c r="X16" s="8">
        <v>-11871.02</v>
      </c>
      <c r="Y16" s="8">
        <v>0</v>
      </c>
      <c r="Z16" s="8">
        <v>0</v>
      </c>
      <c r="AA16" s="40">
        <v>0</v>
      </c>
      <c r="AB16" s="40">
        <v>164577500</v>
      </c>
      <c r="AC16" s="37">
        <f t="shared" si="10"/>
        <v>0</v>
      </c>
      <c r="AD16" s="38">
        <f t="shared" si="11"/>
        <v>5.3936076423489437E-2</v>
      </c>
      <c r="AE16" s="57">
        <v>5056000</v>
      </c>
      <c r="AF16" s="57">
        <v>93740596.930000007</v>
      </c>
      <c r="AG16" s="37">
        <f t="shared" si="12"/>
        <v>1</v>
      </c>
      <c r="AH16" s="42">
        <f t="shared" si="13"/>
        <v>4</v>
      </c>
      <c r="AI16" s="42">
        <v>16</v>
      </c>
      <c r="AJ16" s="42">
        <v>16</v>
      </c>
      <c r="AK16" s="37"/>
      <c r="AL16" s="42"/>
      <c r="AM16" s="63"/>
      <c r="AN16" s="37"/>
      <c r="AO16" s="37">
        <f t="shared" si="14"/>
        <v>2.9561701955517958</v>
      </c>
      <c r="AP16" s="39">
        <f t="shared" si="15"/>
        <v>1.4609934816068051E-2</v>
      </c>
      <c r="AQ16" s="57">
        <v>5056000</v>
      </c>
      <c r="AR16" s="57">
        <v>346065883.5</v>
      </c>
      <c r="AS16" s="37">
        <f t="shared" si="16"/>
        <v>0</v>
      </c>
      <c r="AT16" s="39">
        <f t="shared" si="17"/>
        <v>0.10195698206997686</v>
      </c>
      <c r="AU16" s="45">
        <f t="shared" si="18"/>
        <v>18684879.100000001</v>
      </c>
      <c r="AV16" s="46">
        <f t="shared" si="19"/>
        <v>164577500</v>
      </c>
      <c r="AW16" s="37">
        <f t="shared" si="20"/>
        <v>0</v>
      </c>
      <c r="AX16" s="39">
        <f>AY16/AZ16-1</f>
        <v>-0.16894016782384513</v>
      </c>
      <c r="AY16" s="45">
        <f>AU16</f>
        <v>18684879.100000001</v>
      </c>
      <c r="AZ16" s="46">
        <v>22483193.600000001</v>
      </c>
      <c r="BA16" s="37">
        <v>2</v>
      </c>
      <c r="BB16" s="46">
        <f>AY16</f>
        <v>18684879.100000001</v>
      </c>
      <c r="BC16" s="46">
        <v>0</v>
      </c>
      <c r="BD16" s="37">
        <f t="shared" si="21"/>
        <v>1</v>
      </c>
      <c r="BE16" s="39">
        <f t="shared" si="22"/>
        <v>0</v>
      </c>
      <c r="BF16" s="37">
        <v>0</v>
      </c>
      <c r="BG16" s="46">
        <v>333627.57</v>
      </c>
      <c r="BH16" s="37">
        <f t="shared" si="23"/>
        <v>1</v>
      </c>
      <c r="BI16" s="37">
        <v>0</v>
      </c>
      <c r="BJ16" s="46">
        <v>3908616.88</v>
      </c>
      <c r="BK16" s="37">
        <f t="shared" si="24"/>
        <v>4</v>
      </c>
      <c r="BL16" s="38">
        <f t="shared" si="25"/>
        <v>0</v>
      </c>
      <c r="BM16" s="46">
        <v>0</v>
      </c>
      <c r="BN16" s="46">
        <v>146771.48000000001</v>
      </c>
      <c r="BO16" s="46">
        <v>185</v>
      </c>
      <c r="BP16" s="46">
        <v>1591.9</v>
      </c>
      <c r="BQ16" s="37">
        <f t="shared" si="49"/>
        <v>2</v>
      </c>
      <c r="BR16" s="39">
        <f t="shared" si="26"/>
        <v>1.0000273120836065</v>
      </c>
      <c r="BS16" s="37">
        <v>60487.7</v>
      </c>
      <c r="BT16" s="63">
        <v>41.1</v>
      </c>
      <c r="BU16" s="37">
        <v>12</v>
      </c>
      <c r="BV16" s="63">
        <v>122.64</v>
      </c>
      <c r="BW16" s="37">
        <f t="shared" si="48"/>
        <v>0</v>
      </c>
      <c r="BX16" s="39">
        <f t="shared" si="27"/>
        <v>9.0212046235732611E-4</v>
      </c>
      <c r="BY16" s="46">
        <v>155505.26999999999</v>
      </c>
      <c r="BZ16" s="45">
        <v>172377500</v>
      </c>
      <c r="CA16" s="48">
        <f t="shared" si="28"/>
        <v>2</v>
      </c>
      <c r="CB16" s="49">
        <f t="shared" si="29"/>
        <v>2</v>
      </c>
      <c r="CC16" s="37">
        <v>4</v>
      </c>
      <c r="CD16" s="37">
        <v>4</v>
      </c>
      <c r="CE16" s="37">
        <v>4</v>
      </c>
      <c r="CF16" s="37">
        <f t="shared" si="30"/>
        <v>3</v>
      </c>
      <c r="CG16" s="39">
        <f t="shared" si="31"/>
        <v>1</v>
      </c>
      <c r="CH16" s="37">
        <v>4</v>
      </c>
      <c r="CI16" s="37">
        <v>4</v>
      </c>
      <c r="CJ16" s="48">
        <f t="shared" si="32"/>
        <v>0</v>
      </c>
      <c r="CK16" s="63">
        <v>1</v>
      </c>
      <c r="CL16" s="37">
        <f t="shared" si="33"/>
        <v>0</v>
      </c>
      <c r="CM16" s="50">
        <v>78</v>
      </c>
      <c r="CN16" s="50">
        <v>88</v>
      </c>
      <c r="CO16" s="48">
        <f t="shared" si="34"/>
        <v>3</v>
      </c>
      <c r="CP16" s="37"/>
      <c r="CQ16" s="48">
        <f t="shared" si="35"/>
        <v>3</v>
      </c>
      <c r="CR16" s="63"/>
      <c r="CS16" s="37"/>
      <c r="CT16" s="37"/>
      <c r="CU16" s="37"/>
      <c r="CV16" s="37">
        <f t="shared" si="36"/>
        <v>5</v>
      </c>
      <c r="CW16" s="37">
        <v>6</v>
      </c>
      <c r="CX16" s="37">
        <v>6</v>
      </c>
      <c r="CY16" s="51">
        <f t="shared" si="37"/>
        <v>4</v>
      </c>
      <c r="CZ16" s="37"/>
      <c r="DA16" s="37">
        <v>198.3</v>
      </c>
      <c r="DB16" s="37">
        <f t="shared" si="38"/>
        <v>4</v>
      </c>
      <c r="DC16" s="39">
        <f t="shared" si="39"/>
        <v>1</v>
      </c>
      <c r="DD16" s="46">
        <v>351738553.29000002</v>
      </c>
      <c r="DE16" s="46">
        <v>351738553.29000002</v>
      </c>
      <c r="DF16" s="37">
        <f t="shared" si="40"/>
        <v>3</v>
      </c>
      <c r="DG16" s="39">
        <f t="shared" si="41"/>
        <v>0</v>
      </c>
      <c r="DH16" s="46">
        <v>0</v>
      </c>
      <c r="DI16" s="46">
        <v>343938553.29000002</v>
      </c>
      <c r="DJ16" s="37">
        <f t="shared" si="50"/>
        <v>3</v>
      </c>
      <c r="DK16" s="37"/>
      <c r="DL16" s="37"/>
      <c r="DM16" s="37">
        <f t="shared" si="42"/>
        <v>5</v>
      </c>
      <c r="DN16" s="52">
        <f t="shared" si="43"/>
        <v>1</v>
      </c>
      <c r="DO16" s="64">
        <v>5</v>
      </c>
      <c r="DP16" s="64">
        <v>5</v>
      </c>
      <c r="DQ16" s="37">
        <f t="shared" si="44"/>
        <v>4</v>
      </c>
      <c r="DR16" s="39">
        <f t="shared" si="45"/>
        <v>1</v>
      </c>
      <c r="DS16" s="64">
        <v>189</v>
      </c>
      <c r="DT16" s="64">
        <v>189</v>
      </c>
      <c r="DU16" s="54">
        <f t="shared" si="46"/>
        <v>67.956170195551792</v>
      </c>
      <c r="DV16" s="55">
        <f t="shared" si="47"/>
        <v>8</v>
      </c>
      <c r="DW16" s="4"/>
    </row>
    <row r="17" spans="1:127" ht="150">
      <c r="A17" s="35">
        <v>31</v>
      </c>
      <c r="B17" s="35">
        <v>39</v>
      </c>
      <c r="C17" s="56" t="s">
        <v>164</v>
      </c>
      <c r="D17" s="56" t="s">
        <v>196</v>
      </c>
      <c r="E17" s="37">
        <f t="shared" si="0"/>
        <v>3</v>
      </c>
      <c r="F17" s="38">
        <f t="shared" si="1"/>
        <v>1</v>
      </c>
      <c r="G17" s="57">
        <v>24882.43</v>
      </c>
      <c r="H17" s="57">
        <v>24882.43</v>
      </c>
      <c r="I17" s="37">
        <f t="shared" si="2"/>
        <v>3</v>
      </c>
      <c r="J17" s="39">
        <f t="shared" si="3"/>
        <v>1</v>
      </c>
      <c r="K17" s="46">
        <v>24882.43</v>
      </c>
      <c r="L17" s="46">
        <v>24882.43</v>
      </c>
      <c r="M17" s="37"/>
      <c r="N17" s="39">
        <f t="shared" si="4"/>
        <v>0</v>
      </c>
      <c r="O17" s="45">
        <v>24882.43</v>
      </c>
      <c r="P17" s="46">
        <v>0</v>
      </c>
      <c r="Q17" s="37">
        <f t="shared" si="5"/>
        <v>3</v>
      </c>
      <c r="R17" s="39">
        <f t="shared" si="6"/>
        <v>1</v>
      </c>
      <c r="S17" s="40">
        <f t="shared" si="7"/>
        <v>24882.43</v>
      </c>
      <c r="T17" s="41">
        <v>24882.43</v>
      </c>
      <c r="U17" s="37">
        <f t="shared" si="8"/>
        <v>3</v>
      </c>
      <c r="V17" s="39">
        <f t="shared" si="9"/>
        <v>-8.439768671940176E-2</v>
      </c>
      <c r="W17" s="40">
        <v>0</v>
      </c>
      <c r="X17" s="8">
        <v>0</v>
      </c>
      <c r="Y17" s="8">
        <v>3464883.73</v>
      </c>
      <c r="Z17" s="8">
        <v>3464883.73</v>
      </c>
      <c r="AA17" s="40">
        <v>0</v>
      </c>
      <c r="AB17" s="40">
        <v>82108500</v>
      </c>
      <c r="AC17" s="37">
        <f t="shared" si="10"/>
        <v>3</v>
      </c>
      <c r="AD17" s="38">
        <f t="shared" si="11"/>
        <v>0</v>
      </c>
      <c r="AE17" s="57">
        <v>0</v>
      </c>
      <c r="AF17" s="57">
        <v>5684025.5800000001</v>
      </c>
      <c r="AG17" s="37">
        <f t="shared" si="12"/>
        <v>0</v>
      </c>
      <c r="AH17" s="42">
        <f t="shared" si="13"/>
        <v>-15</v>
      </c>
      <c r="AI17" s="42">
        <v>3</v>
      </c>
      <c r="AJ17" s="42">
        <v>22</v>
      </c>
      <c r="AK17" s="37"/>
      <c r="AL17" s="42"/>
      <c r="AM17" s="68"/>
      <c r="AN17" s="37"/>
      <c r="AO17" s="37">
        <f t="shared" si="14"/>
        <v>3</v>
      </c>
      <c r="AP17" s="39">
        <f t="shared" si="15"/>
        <v>0</v>
      </c>
      <c r="AQ17" s="57"/>
      <c r="AR17" s="57">
        <v>89630859</v>
      </c>
      <c r="AS17" s="37">
        <f t="shared" si="16"/>
        <v>0</v>
      </c>
      <c r="AT17" s="39">
        <f t="shared" si="17"/>
        <v>3.0295148286638022E-4</v>
      </c>
      <c r="AU17" s="45">
        <f t="shared" si="18"/>
        <v>24882.43</v>
      </c>
      <c r="AV17" s="46">
        <f t="shared" si="19"/>
        <v>82108500</v>
      </c>
      <c r="AW17" s="37">
        <f t="shared" si="20"/>
        <v>0</v>
      </c>
      <c r="AX17" s="39">
        <f>AY17/AZ17-1</f>
        <v>-0.64777217841824386</v>
      </c>
      <c r="AY17" s="66">
        <v>24882.43</v>
      </c>
      <c r="AZ17" s="68">
        <v>70643</v>
      </c>
      <c r="BA17" s="37">
        <v>2</v>
      </c>
      <c r="BB17" s="37">
        <v>24882.43</v>
      </c>
      <c r="BC17" s="37">
        <v>0</v>
      </c>
      <c r="BD17" s="37">
        <f t="shared" si="21"/>
        <v>1</v>
      </c>
      <c r="BE17" s="39">
        <f t="shared" si="22"/>
        <v>0</v>
      </c>
      <c r="BF17" s="37">
        <v>0</v>
      </c>
      <c r="BG17" s="68">
        <v>0</v>
      </c>
      <c r="BH17" s="37">
        <f t="shared" si="23"/>
        <v>1</v>
      </c>
      <c r="BI17" s="37">
        <v>0</v>
      </c>
      <c r="BJ17" s="37">
        <v>5390280</v>
      </c>
      <c r="BK17" s="37">
        <f t="shared" si="24"/>
        <v>4</v>
      </c>
      <c r="BL17" s="38">
        <f t="shared" si="25"/>
        <v>0</v>
      </c>
      <c r="BM17" s="37">
        <v>0</v>
      </c>
      <c r="BN17" s="68">
        <v>6442.09</v>
      </c>
      <c r="BO17" s="37">
        <v>0</v>
      </c>
      <c r="BP17" s="68">
        <v>9191.7199999999993</v>
      </c>
      <c r="BQ17" s="37">
        <f t="shared" si="49"/>
        <v>0</v>
      </c>
      <c r="BR17" s="39">
        <f t="shared" si="26"/>
        <v>1.0884941019786909</v>
      </c>
      <c r="BS17" s="37">
        <v>32038300</v>
      </c>
      <c r="BT17" s="37">
        <v>40</v>
      </c>
      <c r="BU17" s="37">
        <v>12</v>
      </c>
      <c r="BV17" s="37">
        <v>61320</v>
      </c>
      <c r="BW17" s="37">
        <f t="shared" si="48"/>
        <v>2</v>
      </c>
      <c r="BX17" s="39">
        <f t="shared" si="27"/>
        <v>0.74123515224624348</v>
      </c>
      <c r="BY17" s="37">
        <v>60880150.229999997</v>
      </c>
      <c r="BZ17" s="66">
        <v>82133382.430000007</v>
      </c>
      <c r="CA17" s="48">
        <f t="shared" si="28"/>
        <v>2</v>
      </c>
      <c r="CB17" s="49">
        <f t="shared" si="29"/>
        <v>2</v>
      </c>
      <c r="CC17" s="68">
        <v>2</v>
      </c>
      <c r="CD17" s="37">
        <v>2</v>
      </c>
      <c r="CE17" s="37">
        <v>2</v>
      </c>
      <c r="CF17" s="37">
        <f t="shared" si="30"/>
        <v>3</v>
      </c>
      <c r="CG17" s="39">
        <f t="shared" si="31"/>
        <v>1</v>
      </c>
      <c r="CH17" s="37">
        <v>1</v>
      </c>
      <c r="CI17" s="37">
        <v>1</v>
      </c>
      <c r="CJ17" s="48">
        <f t="shared" si="32"/>
        <v>0</v>
      </c>
      <c r="CK17" s="68">
        <v>1</v>
      </c>
      <c r="CL17" s="37">
        <f t="shared" si="33"/>
        <v>0</v>
      </c>
      <c r="CM17" s="37">
        <v>81</v>
      </c>
      <c r="CN17" s="50">
        <v>88</v>
      </c>
      <c r="CO17" s="48">
        <f t="shared" si="34"/>
        <v>3</v>
      </c>
      <c r="CP17" s="37"/>
      <c r="CQ17" s="48">
        <f t="shared" si="35"/>
        <v>3</v>
      </c>
      <c r="CR17" s="68">
        <v>0</v>
      </c>
      <c r="CS17" s="37"/>
      <c r="CT17" s="37"/>
      <c r="CU17" s="37"/>
      <c r="CV17" s="37">
        <f t="shared" si="36"/>
        <v>5</v>
      </c>
      <c r="CW17" s="37">
        <v>6</v>
      </c>
      <c r="CX17" s="37">
        <v>6</v>
      </c>
      <c r="CY17" s="51">
        <f t="shared" si="37"/>
        <v>4</v>
      </c>
      <c r="CZ17" s="37"/>
      <c r="DA17" s="37">
        <v>26.82</v>
      </c>
      <c r="DB17" s="37">
        <f t="shared" si="38"/>
        <v>4</v>
      </c>
      <c r="DC17" s="39">
        <f t="shared" si="39"/>
        <v>1</v>
      </c>
      <c r="DD17" s="37">
        <v>89655741.430000007</v>
      </c>
      <c r="DE17" s="37">
        <v>89655741.430000007</v>
      </c>
      <c r="DF17" s="37">
        <f t="shared" si="40"/>
        <v>3</v>
      </c>
      <c r="DG17" s="39">
        <f t="shared" si="41"/>
        <v>0</v>
      </c>
      <c r="DH17" s="46">
        <v>0</v>
      </c>
      <c r="DI17" s="46">
        <v>89630859</v>
      </c>
      <c r="DJ17" s="37">
        <f t="shared" si="50"/>
        <v>3</v>
      </c>
      <c r="DK17" s="37"/>
      <c r="DL17" s="37"/>
      <c r="DM17" s="37">
        <f t="shared" si="42"/>
        <v>5</v>
      </c>
      <c r="DN17" s="52">
        <f t="shared" si="43"/>
        <v>1</v>
      </c>
      <c r="DO17" s="58">
        <v>31</v>
      </c>
      <c r="DP17" s="58">
        <v>31</v>
      </c>
      <c r="DQ17" s="37">
        <f t="shared" si="44"/>
        <v>4</v>
      </c>
      <c r="DR17" s="39">
        <f t="shared" si="45"/>
        <v>1</v>
      </c>
      <c r="DS17" s="58">
        <v>76</v>
      </c>
      <c r="DT17" s="58">
        <v>76</v>
      </c>
      <c r="DU17" s="54">
        <f t="shared" si="46"/>
        <v>67</v>
      </c>
      <c r="DV17" s="55">
        <f t="shared" si="47"/>
        <v>9</v>
      </c>
      <c r="DW17" s="4"/>
    </row>
    <row r="18" spans="1:127" ht="150">
      <c r="A18" s="35">
        <v>46</v>
      </c>
      <c r="B18" s="35">
        <v>51</v>
      </c>
      <c r="C18" s="56" t="s">
        <v>164</v>
      </c>
      <c r="D18" s="56" t="s">
        <v>211</v>
      </c>
      <c r="E18" s="37">
        <f t="shared" si="0"/>
        <v>3</v>
      </c>
      <c r="F18" s="38">
        <f t="shared" si="1"/>
        <v>1</v>
      </c>
      <c r="G18" s="57">
        <v>2057</v>
      </c>
      <c r="H18" s="57">
        <v>2057</v>
      </c>
      <c r="I18" s="37">
        <f t="shared" si="2"/>
        <v>3</v>
      </c>
      <c r="J18" s="39">
        <f t="shared" si="3"/>
        <v>1</v>
      </c>
      <c r="K18" s="46">
        <v>2057</v>
      </c>
      <c r="L18" s="46">
        <v>2057</v>
      </c>
      <c r="M18" s="37"/>
      <c r="N18" s="39">
        <f t="shared" si="4"/>
        <v>0</v>
      </c>
      <c r="O18" s="45">
        <v>2057</v>
      </c>
      <c r="P18" s="46">
        <v>0</v>
      </c>
      <c r="Q18" s="37">
        <f t="shared" si="5"/>
        <v>3</v>
      </c>
      <c r="R18" s="39">
        <f t="shared" si="6"/>
        <v>1</v>
      </c>
      <c r="S18" s="40">
        <f t="shared" si="7"/>
        <v>2057</v>
      </c>
      <c r="T18" s="41">
        <v>2057</v>
      </c>
      <c r="U18" s="37">
        <f t="shared" si="8"/>
        <v>3</v>
      </c>
      <c r="V18" s="39">
        <f t="shared" si="9"/>
        <v>-8.5194313686045728E-2</v>
      </c>
      <c r="W18" s="40">
        <v>0</v>
      </c>
      <c r="X18" s="8">
        <v>0</v>
      </c>
      <c r="Y18" s="8">
        <v>3176257</v>
      </c>
      <c r="Z18" s="8">
        <v>3176257</v>
      </c>
      <c r="AA18" s="40">
        <v>0</v>
      </c>
      <c r="AB18" s="40">
        <v>74565000</v>
      </c>
      <c r="AC18" s="37">
        <f t="shared" si="10"/>
        <v>3</v>
      </c>
      <c r="AD18" s="38">
        <f t="shared" si="11"/>
        <v>0</v>
      </c>
      <c r="AE18" s="57">
        <v>0</v>
      </c>
      <c r="AF18" s="57">
        <v>892183</v>
      </c>
      <c r="AG18" s="37">
        <f t="shared" si="12"/>
        <v>0</v>
      </c>
      <c r="AH18" s="42">
        <f t="shared" si="13"/>
        <v>-4</v>
      </c>
      <c r="AI18" s="42">
        <v>9</v>
      </c>
      <c r="AJ18" s="42">
        <v>17</v>
      </c>
      <c r="AK18" s="37"/>
      <c r="AL18" s="42"/>
      <c r="AM18" s="37"/>
      <c r="AN18" s="37"/>
      <c r="AO18" s="37">
        <f t="shared" si="14"/>
        <v>3</v>
      </c>
      <c r="AP18" s="39">
        <f t="shared" si="15"/>
        <v>0</v>
      </c>
      <c r="AQ18" s="57"/>
      <c r="AR18" s="57">
        <v>79707964</v>
      </c>
      <c r="AS18" s="37">
        <f t="shared" si="16"/>
        <v>0</v>
      </c>
      <c r="AT18" s="39">
        <f t="shared" si="17"/>
        <v>2.7585908345558012E-5</v>
      </c>
      <c r="AU18" s="45">
        <f t="shared" si="18"/>
        <v>2057</v>
      </c>
      <c r="AV18" s="46">
        <f t="shared" si="19"/>
        <v>74565000</v>
      </c>
      <c r="AW18" s="37">
        <f t="shared" si="20"/>
        <v>2</v>
      </c>
      <c r="AX18" s="39">
        <v>1</v>
      </c>
      <c r="AY18" s="66">
        <v>2057</v>
      </c>
      <c r="AZ18" s="37" t="s">
        <v>212</v>
      </c>
      <c r="BA18" s="37">
        <v>2</v>
      </c>
      <c r="BB18" s="37">
        <v>2057</v>
      </c>
      <c r="BC18" s="37">
        <v>0</v>
      </c>
      <c r="BD18" s="37">
        <f t="shared" si="21"/>
        <v>1</v>
      </c>
      <c r="BE18" s="39">
        <f t="shared" si="22"/>
        <v>0</v>
      </c>
      <c r="BF18" s="37">
        <v>0</v>
      </c>
      <c r="BG18" s="37">
        <v>140733.42000000001</v>
      </c>
      <c r="BH18" s="37">
        <f t="shared" si="23"/>
        <v>1</v>
      </c>
      <c r="BI18" s="37">
        <v>0</v>
      </c>
      <c r="BJ18" s="37">
        <v>5429822.21</v>
      </c>
      <c r="BK18" s="37">
        <f t="shared" si="24"/>
        <v>4</v>
      </c>
      <c r="BL18" s="38">
        <f t="shared" si="25"/>
        <v>0</v>
      </c>
      <c r="BM18" s="37">
        <v>0</v>
      </c>
      <c r="BN18" s="44">
        <v>38143.06</v>
      </c>
      <c r="BO18" s="37">
        <v>0</v>
      </c>
      <c r="BP18" s="44">
        <v>8422.57</v>
      </c>
      <c r="BQ18" s="37">
        <f t="shared" si="49"/>
        <v>0</v>
      </c>
      <c r="BR18" s="39">
        <f t="shared" si="26"/>
        <v>1.1751029195776357</v>
      </c>
      <c r="BS18" s="37">
        <v>23260100</v>
      </c>
      <c r="BT18" s="37">
        <v>26.9</v>
      </c>
      <c r="BU18" s="37">
        <v>12</v>
      </c>
      <c r="BV18" s="37">
        <v>61320</v>
      </c>
      <c r="BW18" s="37">
        <f t="shared" si="48"/>
        <v>0</v>
      </c>
      <c r="BX18" s="39">
        <f t="shared" si="27"/>
        <v>0</v>
      </c>
      <c r="BY18" s="37">
        <v>0</v>
      </c>
      <c r="BZ18" s="66">
        <v>74567057</v>
      </c>
      <c r="CA18" s="48">
        <f t="shared" si="28"/>
        <v>2</v>
      </c>
      <c r="CB18" s="49">
        <f t="shared" si="29"/>
        <v>2</v>
      </c>
      <c r="CC18" s="37">
        <v>3</v>
      </c>
      <c r="CD18" s="37">
        <v>3</v>
      </c>
      <c r="CE18" s="37">
        <v>3</v>
      </c>
      <c r="CF18" s="37">
        <f t="shared" si="30"/>
        <v>3</v>
      </c>
      <c r="CG18" s="39">
        <f t="shared" si="31"/>
        <v>1</v>
      </c>
      <c r="CH18" s="37">
        <v>4</v>
      </c>
      <c r="CI18" s="37">
        <v>4</v>
      </c>
      <c r="CJ18" s="48">
        <f t="shared" si="32"/>
        <v>0</v>
      </c>
      <c r="CK18" s="37">
        <v>1</v>
      </c>
      <c r="CL18" s="37">
        <f t="shared" si="33"/>
        <v>0</v>
      </c>
      <c r="CM18" s="37">
        <v>79</v>
      </c>
      <c r="CN18" s="50">
        <v>88</v>
      </c>
      <c r="CO18" s="48">
        <f t="shared" si="34"/>
        <v>3</v>
      </c>
      <c r="CP18" s="37"/>
      <c r="CQ18" s="48">
        <f t="shared" si="35"/>
        <v>3</v>
      </c>
      <c r="CR18" s="37"/>
      <c r="CS18" s="37"/>
      <c r="CT18" s="37"/>
      <c r="CU18" s="37"/>
      <c r="CV18" s="37">
        <f t="shared" si="36"/>
        <v>5</v>
      </c>
      <c r="CW18" s="37">
        <v>6</v>
      </c>
      <c r="CX18" s="37">
        <v>6</v>
      </c>
      <c r="CY18" s="51">
        <f t="shared" si="37"/>
        <v>4</v>
      </c>
      <c r="CZ18" s="37"/>
      <c r="DA18" s="37">
        <v>27862532.800000001</v>
      </c>
      <c r="DB18" s="37">
        <f t="shared" si="38"/>
        <v>4</v>
      </c>
      <c r="DC18" s="39">
        <f t="shared" si="39"/>
        <v>1</v>
      </c>
      <c r="DD18" s="44">
        <v>79710021</v>
      </c>
      <c r="DE18" s="44">
        <v>79710021</v>
      </c>
      <c r="DF18" s="37">
        <f t="shared" si="40"/>
        <v>3</v>
      </c>
      <c r="DG18" s="39">
        <f t="shared" si="41"/>
        <v>0</v>
      </c>
      <c r="DH18" s="46">
        <v>0</v>
      </c>
      <c r="DI18" s="11">
        <v>79707964</v>
      </c>
      <c r="DJ18" s="37">
        <f t="shared" si="50"/>
        <v>3</v>
      </c>
      <c r="DK18" s="37"/>
      <c r="DL18" s="37"/>
      <c r="DM18" s="37">
        <f t="shared" si="42"/>
        <v>5</v>
      </c>
      <c r="DN18" s="52">
        <f t="shared" si="43"/>
        <v>1</v>
      </c>
      <c r="DO18" s="53">
        <v>50</v>
      </c>
      <c r="DP18" s="53">
        <v>50</v>
      </c>
      <c r="DQ18" s="37">
        <f t="shared" si="44"/>
        <v>4</v>
      </c>
      <c r="DR18" s="39">
        <f t="shared" si="45"/>
        <v>1</v>
      </c>
      <c r="DS18" s="58">
        <v>48</v>
      </c>
      <c r="DT18" s="58">
        <v>48</v>
      </c>
      <c r="DU18" s="54">
        <f t="shared" si="46"/>
        <v>67</v>
      </c>
      <c r="DV18" s="55">
        <f t="shared" si="47"/>
        <v>9</v>
      </c>
      <c r="DW18" s="4"/>
    </row>
    <row r="19" spans="1:127" ht="150">
      <c r="A19" s="35">
        <v>29</v>
      </c>
      <c r="B19" s="35">
        <v>36</v>
      </c>
      <c r="C19" s="56" t="s">
        <v>164</v>
      </c>
      <c r="D19" s="56" t="s">
        <v>194</v>
      </c>
      <c r="E19" s="37">
        <f t="shared" si="0"/>
        <v>3</v>
      </c>
      <c r="F19" s="38">
        <f t="shared" si="1"/>
        <v>1</v>
      </c>
      <c r="G19" s="57">
        <v>2303226</v>
      </c>
      <c r="H19" s="57">
        <v>2303226</v>
      </c>
      <c r="I19" s="37">
        <f t="shared" si="2"/>
        <v>3</v>
      </c>
      <c r="J19" s="39">
        <f t="shared" si="3"/>
        <v>0.99420983213429259</v>
      </c>
      <c r="K19" s="46">
        <v>2263636.83</v>
      </c>
      <c r="L19" s="46">
        <v>2276820</v>
      </c>
      <c r="M19" s="37">
        <f t="shared" ref="M19:M29" si="51">IF(O19/P19&lt;$P$7/100,0,IF(O19/P19&gt;$O$7/100,3,$M$7*(O19/P19-$P$7/100)/(($O$7-$P$7)/100)))</f>
        <v>3</v>
      </c>
      <c r="N19" s="39">
        <f t="shared" si="4"/>
        <v>1.7717123076923076</v>
      </c>
      <c r="O19" s="45">
        <v>2303226</v>
      </c>
      <c r="P19" s="46">
        <v>1300000</v>
      </c>
      <c r="Q19" s="37">
        <f t="shared" si="5"/>
        <v>3</v>
      </c>
      <c r="R19" s="39">
        <f t="shared" si="6"/>
        <v>0.99420983213429259</v>
      </c>
      <c r="S19" s="40">
        <f t="shared" si="7"/>
        <v>2263636.83</v>
      </c>
      <c r="T19" s="41">
        <v>2276820</v>
      </c>
      <c r="U19" s="37">
        <f t="shared" si="8"/>
        <v>3</v>
      </c>
      <c r="V19" s="39">
        <f t="shared" si="9"/>
        <v>-0.25735936350476241</v>
      </c>
      <c r="W19" s="40">
        <v>91517.28</v>
      </c>
      <c r="X19" s="8">
        <v>0</v>
      </c>
      <c r="Y19" s="8">
        <v>7864914.3300000001</v>
      </c>
      <c r="Z19" s="8">
        <v>6946940.8799999999</v>
      </c>
      <c r="AA19" s="40">
        <v>0</v>
      </c>
      <c r="AB19" s="40">
        <v>57197600</v>
      </c>
      <c r="AC19" s="37">
        <f t="shared" si="10"/>
        <v>0</v>
      </c>
      <c r="AD19" s="38">
        <f t="shared" si="11"/>
        <v>0.27074292522000504</v>
      </c>
      <c r="AE19" s="57">
        <v>200000</v>
      </c>
      <c r="AF19" s="57">
        <v>738708.13000000082</v>
      </c>
      <c r="AG19" s="37">
        <f t="shared" si="12"/>
        <v>0</v>
      </c>
      <c r="AH19" s="42">
        <f t="shared" si="13"/>
        <v>-3</v>
      </c>
      <c r="AI19" s="42">
        <v>11</v>
      </c>
      <c r="AJ19" s="42">
        <v>18</v>
      </c>
      <c r="AK19" s="37"/>
      <c r="AL19" s="42"/>
      <c r="AM19" s="68"/>
      <c r="AN19" s="37"/>
      <c r="AO19" s="37">
        <f t="shared" si="14"/>
        <v>2.9909862962859695</v>
      </c>
      <c r="AP19" s="39">
        <f t="shared" si="15"/>
        <v>3.0045679046768383E-3</v>
      </c>
      <c r="AQ19" s="57">
        <v>200000</v>
      </c>
      <c r="AR19" s="57">
        <v>66565312</v>
      </c>
      <c r="AS19" s="37">
        <f t="shared" si="16"/>
        <v>0</v>
      </c>
      <c r="AT19" s="39">
        <f t="shared" si="17"/>
        <v>3.870914329827959E-2</v>
      </c>
      <c r="AU19" s="45">
        <f t="shared" si="18"/>
        <v>2303226</v>
      </c>
      <c r="AV19" s="46">
        <f t="shared" si="19"/>
        <v>57197600</v>
      </c>
      <c r="AW19" s="37">
        <f t="shared" si="20"/>
        <v>2</v>
      </c>
      <c r="AX19" s="39">
        <f t="shared" ref="AX19:AX29" si="52">AY19/AZ19-1</f>
        <v>7.4059343065693426</v>
      </c>
      <c r="AY19" s="45">
        <f t="shared" ref="AY19:AY29" si="53">AU19</f>
        <v>2303226</v>
      </c>
      <c r="AZ19" s="46">
        <v>274000</v>
      </c>
      <c r="BA19" s="37">
        <v>2</v>
      </c>
      <c r="BB19" s="46">
        <f t="shared" ref="BB19:BB29" si="54">AY19</f>
        <v>2303226</v>
      </c>
      <c r="BC19" s="46">
        <v>0</v>
      </c>
      <c r="BD19" s="37">
        <f t="shared" si="21"/>
        <v>1</v>
      </c>
      <c r="BE19" s="39">
        <f t="shared" si="22"/>
        <v>0</v>
      </c>
      <c r="BF19" s="37">
        <v>0</v>
      </c>
      <c r="BG19" s="46">
        <v>10798.51</v>
      </c>
      <c r="BH19" s="37">
        <f t="shared" si="23"/>
        <v>1</v>
      </c>
      <c r="BI19" s="37">
        <v>0</v>
      </c>
      <c r="BJ19" s="46">
        <v>6890262.0499999998</v>
      </c>
      <c r="BK19" s="37">
        <f t="shared" si="24"/>
        <v>4</v>
      </c>
      <c r="BL19" s="38">
        <f t="shared" si="25"/>
        <v>0</v>
      </c>
      <c r="BM19" s="46">
        <v>0</v>
      </c>
      <c r="BN19" s="46">
        <v>13356.47</v>
      </c>
      <c r="BO19" s="46">
        <v>10.23</v>
      </c>
      <c r="BP19" s="46">
        <v>6317.07</v>
      </c>
      <c r="BQ19" s="37">
        <f t="shared" si="49"/>
        <v>0</v>
      </c>
      <c r="BR19" s="39">
        <f t="shared" si="26"/>
        <v>1.1406457930577794</v>
      </c>
      <c r="BS19" s="37">
        <v>23081652.010000002</v>
      </c>
      <c r="BT19" s="37">
        <v>27.5</v>
      </c>
      <c r="BU19" s="37">
        <v>12</v>
      </c>
      <c r="BV19" s="37">
        <v>61320</v>
      </c>
      <c r="BW19" s="37">
        <f t="shared" si="48"/>
        <v>0</v>
      </c>
      <c r="BX19" s="39">
        <f t="shared" si="27"/>
        <v>7.6925066552857612E-4</v>
      </c>
      <c r="BY19" s="46">
        <v>45771.05</v>
      </c>
      <c r="BZ19" s="45">
        <v>59500826</v>
      </c>
      <c r="CA19" s="48">
        <f t="shared" si="28"/>
        <v>2</v>
      </c>
      <c r="CB19" s="49">
        <f t="shared" si="29"/>
        <v>2</v>
      </c>
      <c r="CC19" s="68">
        <v>1</v>
      </c>
      <c r="CD19" s="37">
        <v>1</v>
      </c>
      <c r="CE19" s="37">
        <v>1</v>
      </c>
      <c r="CF19" s="37">
        <f t="shared" si="30"/>
        <v>3</v>
      </c>
      <c r="CG19" s="39">
        <f t="shared" si="31"/>
        <v>1</v>
      </c>
      <c r="CH19" s="37">
        <v>2</v>
      </c>
      <c r="CI19" s="37">
        <v>2</v>
      </c>
      <c r="CJ19" s="48">
        <f t="shared" si="32"/>
        <v>0</v>
      </c>
      <c r="CK19" s="68">
        <v>1</v>
      </c>
      <c r="CL19" s="37">
        <f t="shared" si="33"/>
        <v>0</v>
      </c>
      <c r="CM19" s="37">
        <v>80</v>
      </c>
      <c r="CN19" s="50">
        <v>88</v>
      </c>
      <c r="CO19" s="48">
        <f t="shared" si="34"/>
        <v>3</v>
      </c>
      <c r="CP19" s="37"/>
      <c r="CQ19" s="48">
        <f t="shared" si="35"/>
        <v>3</v>
      </c>
      <c r="CR19" s="68">
        <v>0</v>
      </c>
      <c r="CS19" s="37"/>
      <c r="CT19" s="37"/>
      <c r="CU19" s="37"/>
      <c r="CV19" s="37">
        <f t="shared" si="36"/>
        <v>5</v>
      </c>
      <c r="CW19" s="37">
        <v>6</v>
      </c>
      <c r="CX19" s="37">
        <v>6</v>
      </c>
      <c r="CY19" s="51">
        <f t="shared" si="37"/>
        <v>4</v>
      </c>
      <c r="CZ19" s="37"/>
      <c r="DA19" s="37">
        <v>20.8</v>
      </c>
      <c r="DB19" s="37">
        <f t="shared" si="38"/>
        <v>4</v>
      </c>
      <c r="DC19" s="39">
        <f t="shared" si="39"/>
        <v>1</v>
      </c>
      <c r="DD19" s="46">
        <v>68698041.349999994</v>
      </c>
      <c r="DE19" s="46">
        <v>68698041.349999994</v>
      </c>
      <c r="DF19" s="37">
        <f t="shared" si="40"/>
        <v>3</v>
      </c>
      <c r="DG19" s="39">
        <f t="shared" si="41"/>
        <v>0</v>
      </c>
      <c r="DH19" s="46">
        <v>0</v>
      </c>
      <c r="DI19" s="46">
        <v>66434404.520000003</v>
      </c>
      <c r="DJ19" s="37">
        <f t="shared" si="50"/>
        <v>3</v>
      </c>
      <c r="DK19" s="37"/>
      <c r="DL19" s="37"/>
      <c r="DM19" s="37">
        <f t="shared" si="42"/>
        <v>5</v>
      </c>
      <c r="DN19" s="52">
        <f t="shared" si="43"/>
        <v>1</v>
      </c>
      <c r="DO19" s="58">
        <v>26</v>
      </c>
      <c r="DP19" s="58">
        <v>26</v>
      </c>
      <c r="DQ19" s="37">
        <f t="shared" si="44"/>
        <v>4</v>
      </c>
      <c r="DR19" s="39">
        <f t="shared" si="45"/>
        <v>1.1666666666666667</v>
      </c>
      <c r="DS19" s="58">
        <v>56</v>
      </c>
      <c r="DT19" s="58">
        <v>48</v>
      </c>
      <c r="DU19" s="54">
        <f t="shared" si="46"/>
        <v>66.990986296285968</v>
      </c>
      <c r="DV19" s="55">
        <f t="shared" si="47"/>
        <v>11</v>
      </c>
      <c r="DW19" s="4"/>
    </row>
    <row r="20" spans="1:127" ht="135">
      <c r="A20" s="35">
        <v>14</v>
      </c>
      <c r="B20" s="35">
        <v>26</v>
      </c>
      <c r="C20" s="56" t="s">
        <v>164</v>
      </c>
      <c r="D20" s="56" t="s">
        <v>177</v>
      </c>
      <c r="E20" s="37">
        <f t="shared" si="0"/>
        <v>0</v>
      </c>
      <c r="F20" s="38">
        <f t="shared" si="1"/>
        <v>3.0326198824349442</v>
      </c>
      <c r="G20" s="57">
        <v>65261979.869999997</v>
      </c>
      <c r="H20" s="57">
        <v>21520000</v>
      </c>
      <c r="I20" s="37">
        <f t="shared" si="2"/>
        <v>3</v>
      </c>
      <c r="J20" s="39">
        <f t="shared" si="3"/>
        <v>1</v>
      </c>
      <c r="K20" s="46">
        <v>53866570.579999998</v>
      </c>
      <c r="L20" s="46">
        <v>53866570.579999998</v>
      </c>
      <c r="M20" s="37">
        <f t="shared" si="51"/>
        <v>3</v>
      </c>
      <c r="N20" s="39">
        <f t="shared" si="4"/>
        <v>2.9530307633484161</v>
      </c>
      <c r="O20" s="45">
        <v>65261979.869999997</v>
      </c>
      <c r="P20" s="46">
        <v>22100000</v>
      </c>
      <c r="Q20" s="37">
        <f t="shared" si="5"/>
        <v>3</v>
      </c>
      <c r="R20" s="39">
        <f t="shared" si="6"/>
        <v>1</v>
      </c>
      <c r="S20" s="40">
        <f t="shared" si="7"/>
        <v>53866570.579999998</v>
      </c>
      <c r="T20" s="41">
        <v>53866570.579999998</v>
      </c>
      <c r="U20" s="37">
        <f t="shared" si="8"/>
        <v>3</v>
      </c>
      <c r="V20" s="39">
        <f t="shared" si="9"/>
        <v>-7.8907032629482579E-2</v>
      </c>
      <c r="W20" s="65" t="s">
        <v>166</v>
      </c>
      <c r="X20" s="8">
        <v>0</v>
      </c>
      <c r="Y20" s="8">
        <v>7736808.5099999998</v>
      </c>
      <c r="Z20" s="8">
        <v>7736808.5099999998</v>
      </c>
      <c r="AA20" s="40">
        <v>0</v>
      </c>
      <c r="AB20" s="40">
        <v>196099340</v>
      </c>
      <c r="AC20" s="37">
        <f t="shared" si="10"/>
        <v>0</v>
      </c>
      <c r="AD20" s="38">
        <f t="shared" si="11"/>
        <v>0.83025866673240978</v>
      </c>
      <c r="AE20" s="57">
        <v>14153382.619999999</v>
      </c>
      <c r="AF20" s="57">
        <v>17046955.59</v>
      </c>
      <c r="AG20" s="37">
        <f t="shared" si="12"/>
        <v>1</v>
      </c>
      <c r="AH20" s="42">
        <f t="shared" si="13"/>
        <v>6</v>
      </c>
      <c r="AI20" s="42">
        <v>30</v>
      </c>
      <c r="AJ20" s="42">
        <v>28</v>
      </c>
      <c r="AK20" s="37"/>
      <c r="AL20" s="42"/>
      <c r="AM20" s="37"/>
      <c r="AN20" s="37"/>
      <c r="AO20" s="37">
        <f t="shared" si="14"/>
        <v>2.8368323979137839</v>
      </c>
      <c r="AP20" s="39">
        <f t="shared" si="15"/>
        <v>5.4389200695405371E-2</v>
      </c>
      <c r="AQ20" s="57">
        <v>14153382.619999999</v>
      </c>
      <c r="AR20" s="57">
        <v>260224133.44999999</v>
      </c>
      <c r="AS20" s="37">
        <f t="shared" si="16"/>
        <v>0</v>
      </c>
      <c r="AT20" s="39">
        <f t="shared" si="17"/>
        <v>0.24970022305695819</v>
      </c>
      <c r="AU20" s="45">
        <f t="shared" si="18"/>
        <v>65261979.869999997</v>
      </c>
      <c r="AV20" s="46">
        <f t="shared" si="19"/>
        <v>196099340</v>
      </c>
      <c r="AW20" s="37">
        <f t="shared" si="20"/>
        <v>2</v>
      </c>
      <c r="AX20" s="39">
        <f t="shared" si="52"/>
        <v>0.34508446472064014</v>
      </c>
      <c r="AY20" s="45">
        <f t="shared" si="53"/>
        <v>65261979.869999997</v>
      </c>
      <c r="AZ20" s="46">
        <v>48518871.18</v>
      </c>
      <c r="BA20" s="37">
        <v>2</v>
      </c>
      <c r="BB20" s="46">
        <f t="shared" si="54"/>
        <v>65261979.869999997</v>
      </c>
      <c r="BC20" s="46">
        <v>0</v>
      </c>
      <c r="BD20" s="37">
        <f t="shared" si="21"/>
        <v>1</v>
      </c>
      <c r="BE20" s="39">
        <f t="shared" si="22"/>
        <v>0</v>
      </c>
      <c r="BF20" s="37">
        <v>0</v>
      </c>
      <c r="BG20" s="46">
        <v>4483078.0599999996</v>
      </c>
      <c r="BH20" s="37">
        <f t="shared" si="23"/>
        <v>1</v>
      </c>
      <c r="BI20" s="37">
        <v>0</v>
      </c>
      <c r="BJ20" s="46">
        <v>29268395.420000002</v>
      </c>
      <c r="BK20" s="37">
        <f t="shared" si="24"/>
        <v>4</v>
      </c>
      <c r="BL20" s="38">
        <f t="shared" si="25"/>
        <v>0</v>
      </c>
      <c r="BM20" s="46">
        <v>0</v>
      </c>
      <c r="BN20" s="46">
        <v>100309.15</v>
      </c>
      <c r="BO20" s="46">
        <v>0</v>
      </c>
      <c r="BP20" s="46">
        <v>15665.1</v>
      </c>
      <c r="BQ20" s="37">
        <f t="shared" si="49"/>
        <v>2</v>
      </c>
      <c r="BR20" s="39">
        <f t="shared" si="26"/>
        <v>1.022925228356393</v>
      </c>
      <c r="BS20" s="37">
        <v>53436100</v>
      </c>
      <c r="BT20" s="37">
        <v>70.099999999999994</v>
      </c>
      <c r="BU20" s="37">
        <v>12</v>
      </c>
      <c r="BV20" s="63">
        <v>62100</v>
      </c>
      <c r="BW20" s="37">
        <f t="shared" si="48"/>
        <v>0</v>
      </c>
      <c r="BX20" s="39">
        <f t="shared" si="27"/>
        <v>0.61253320835550318</v>
      </c>
      <c r="BY20" s="46">
        <f>122958.9*1000*1.302</f>
        <v>160092487.80000001</v>
      </c>
      <c r="BZ20" s="45">
        <v>261361319.87</v>
      </c>
      <c r="CA20" s="48">
        <f t="shared" si="28"/>
        <v>2</v>
      </c>
      <c r="CB20" s="49">
        <f t="shared" si="29"/>
        <v>1.6</v>
      </c>
      <c r="CC20" s="37">
        <v>3</v>
      </c>
      <c r="CD20" s="37">
        <v>5</v>
      </c>
      <c r="CE20" s="37">
        <v>5</v>
      </c>
      <c r="CF20" s="37">
        <f t="shared" si="30"/>
        <v>3</v>
      </c>
      <c r="CG20" s="39">
        <f t="shared" si="31"/>
        <v>1</v>
      </c>
      <c r="CH20" s="37">
        <v>4</v>
      </c>
      <c r="CI20" s="37">
        <v>4</v>
      </c>
      <c r="CJ20" s="48">
        <f t="shared" si="32"/>
        <v>0</v>
      </c>
      <c r="CK20" s="37">
        <v>1</v>
      </c>
      <c r="CL20" s="37">
        <f t="shared" si="33"/>
        <v>0</v>
      </c>
      <c r="CM20" s="50">
        <v>78</v>
      </c>
      <c r="CN20" s="50">
        <v>88</v>
      </c>
      <c r="CO20" s="48">
        <f t="shared" si="34"/>
        <v>3</v>
      </c>
      <c r="CP20" s="37"/>
      <c r="CQ20" s="48">
        <f t="shared" si="35"/>
        <v>3</v>
      </c>
      <c r="CR20" s="37"/>
      <c r="CS20" s="37"/>
      <c r="CT20" s="37"/>
      <c r="CU20" s="37"/>
      <c r="CV20" s="37">
        <f t="shared" si="36"/>
        <v>5</v>
      </c>
      <c r="CW20" s="37">
        <v>6</v>
      </c>
      <c r="CX20" s="37">
        <v>6</v>
      </c>
      <c r="CY20" s="51">
        <f t="shared" si="37"/>
        <v>4</v>
      </c>
      <c r="CZ20" s="37"/>
      <c r="DA20" s="37">
        <v>71.47</v>
      </c>
      <c r="DB20" s="37">
        <f t="shared" si="38"/>
        <v>4</v>
      </c>
      <c r="DC20" s="39">
        <f t="shared" si="39"/>
        <v>1</v>
      </c>
      <c r="DD20" s="46">
        <v>299937321.41000003</v>
      </c>
      <c r="DE20" s="46">
        <v>299937321.41000003</v>
      </c>
      <c r="DF20" s="37">
        <f t="shared" si="40"/>
        <v>3</v>
      </c>
      <c r="DG20" s="39">
        <f t="shared" si="41"/>
        <v>0</v>
      </c>
      <c r="DH20" s="46">
        <v>0</v>
      </c>
      <c r="DI20" s="46">
        <v>246070750.83000001</v>
      </c>
      <c r="DJ20" s="37">
        <f t="shared" si="50"/>
        <v>3</v>
      </c>
      <c r="DK20" s="37"/>
      <c r="DL20" s="37"/>
      <c r="DM20" s="37">
        <f t="shared" si="42"/>
        <v>5</v>
      </c>
      <c r="DN20" s="52">
        <f t="shared" si="43"/>
        <v>1</v>
      </c>
      <c r="DO20" s="64">
        <v>33</v>
      </c>
      <c r="DP20" s="64">
        <v>33</v>
      </c>
      <c r="DQ20" s="37">
        <f t="shared" si="44"/>
        <v>4</v>
      </c>
      <c r="DR20" s="39">
        <f t="shared" si="45"/>
        <v>1</v>
      </c>
      <c r="DS20" s="64">
        <v>181</v>
      </c>
      <c r="DT20" s="64">
        <v>181</v>
      </c>
      <c r="DU20" s="54">
        <f t="shared" si="46"/>
        <v>66.836832397913781</v>
      </c>
      <c r="DV20" s="55">
        <f t="shared" si="47"/>
        <v>12</v>
      </c>
      <c r="DW20" s="4"/>
    </row>
    <row r="21" spans="1:127" ht="135">
      <c r="A21" s="35">
        <v>8</v>
      </c>
      <c r="B21" s="35">
        <v>3</v>
      </c>
      <c r="C21" s="56" t="s">
        <v>161</v>
      </c>
      <c r="D21" s="56" t="s">
        <v>171</v>
      </c>
      <c r="E21" s="37">
        <f t="shared" si="0"/>
        <v>0</v>
      </c>
      <c r="F21" s="38">
        <f t="shared" si="1"/>
        <v>1.186706605209743</v>
      </c>
      <c r="G21" s="57">
        <v>14031618.9</v>
      </c>
      <c r="H21" s="57">
        <v>11824000</v>
      </c>
      <c r="I21" s="37">
        <f t="shared" si="2"/>
        <v>1.5715023479591514</v>
      </c>
      <c r="J21" s="39">
        <f t="shared" si="3"/>
        <v>0.94190672927891073</v>
      </c>
      <c r="K21" s="46">
        <v>14696417.59</v>
      </c>
      <c r="L21" s="46">
        <v>15602837.449999999</v>
      </c>
      <c r="M21" s="37">
        <f t="shared" si="51"/>
        <v>3</v>
      </c>
      <c r="N21" s="39">
        <f t="shared" si="4"/>
        <v>1.4438641210526315</v>
      </c>
      <c r="O21" s="45">
        <v>13716709.15</v>
      </c>
      <c r="P21" s="46">
        <v>9500000</v>
      </c>
      <c r="Q21" s="37">
        <f t="shared" si="5"/>
        <v>2.8786009391836607</v>
      </c>
      <c r="R21" s="39">
        <f t="shared" si="6"/>
        <v>0.94190672927891073</v>
      </c>
      <c r="S21" s="40">
        <f t="shared" si="7"/>
        <v>14696417.59</v>
      </c>
      <c r="T21" s="41">
        <v>15602837.449999999</v>
      </c>
      <c r="U21" s="37">
        <f t="shared" si="8"/>
        <v>3</v>
      </c>
      <c r="V21" s="39">
        <f t="shared" si="9"/>
        <v>-0.10613970939316547</v>
      </c>
      <c r="W21" s="65" t="s">
        <v>166</v>
      </c>
      <c r="X21" s="8">
        <v>0</v>
      </c>
      <c r="Y21" s="8">
        <v>6478972.8499999996</v>
      </c>
      <c r="Z21" s="8">
        <v>3968931.9</v>
      </c>
      <c r="AA21" s="40">
        <v>0</v>
      </c>
      <c r="AB21" s="40">
        <v>98435400</v>
      </c>
      <c r="AC21" s="37">
        <f t="shared" si="10"/>
        <v>0</v>
      </c>
      <c r="AD21" s="38">
        <f t="shared" si="11"/>
        <v>8.7184615073581426E-2</v>
      </c>
      <c r="AE21" s="57">
        <v>767175.24</v>
      </c>
      <c r="AF21" s="57">
        <v>8799433.6999999955</v>
      </c>
      <c r="AG21" s="37">
        <f t="shared" si="12"/>
        <v>0</v>
      </c>
      <c r="AH21" s="42">
        <f t="shared" si="13"/>
        <v>13</v>
      </c>
      <c r="AI21" s="42">
        <v>37</v>
      </c>
      <c r="AJ21" s="42">
        <v>28</v>
      </c>
      <c r="AK21" s="37"/>
      <c r="AL21" s="42"/>
      <c r="AM21" s="37"/>
      <c r="AN21" s="37"/>
      <c r="AO21" s="37">
        <f t="shared" si="14"/>
        <v>2.9857868671595016</v>
      </c>
      <c r="AP21" s="39">
        <f t="shared" si="15"/>
        <v>4.7377109468327277E-3</v>
      </c>
      <c r="AQ21" s="57">
        <v>767175.24</v>
      </c>
      <c r="AR21" s="57">
        <v>161929515.88</v>
      </c>
      <c r="AS21" s="37">
        <f t="shared" si="16"/>
        <v>0</v>
      </c>
      <c r="AT21" s="39">
        <f t="shared" si="17"/>
        <v>0.1223045135214918</v>
      </c>
      <c r="AU21" s="45">
        <f t="shared" si="18"/>
        <v>13716709.15</v>
      </c>
      <c r="AV21" s="46">
        <f t="shared" si="19"/>
        <v>98435400</v>
      </c>
      <c r="AW21" s="37">
        <f t="shared" si="20"/>
        <v>2</v>
      </c>
      <c r="AX21" s="39">
        <f t="shared" si="52"/>
        <v>0.20650160957166031</v>
      </c>
      <c r="AY21" s="45">
        <f t="shared" si="53"/>
        <v>13716709.15</v>
      </c>
      <c r="AZ21" s="46">
        <v>11368993.66</v>
      </c>
      <c r="BA21" s="37">
        <v>2</v>
      </c>
      <c r="BB21" s="46">
        <f t="shared" si="54"/>
        <v>13716709.15</v>
      </c>
      <c r="BC21" s="46">
        <v>0</v>
      </c>
      <c r="BD21" s="37">
        <f t="shared" si="21"/>
        <v>1</v>
      </c>
      <c r="BE21" s="39">
        <f t="shared" si="22"/>
        <v>0</v>
      </c>
      <c r="BF21" s="37">
        <v>0</v>
      </c>
      <c r="BG21" s="46">
        <v>2737615.85</v>
      </c>
      <c r="BH21" s="37">
        <f t="shared" si="23"/>
        <v>1</v>
      </c>
      <c r="BI21" s="37">
        <v>0</v>
      </c>
      <c r="BJ21" s="46">
        <v>8686692.5199999996</v>
      </c>
      <c r="BK21" s="37">
        <f t="shared" si="24"/>
        <v>4</v>
      </c>
      <c r="BL21" s="38">
        <f t="shared" si="25"/>
        <v>0</v>
      </c>
      <c r="BM21" s="46">
        <v>0</v>
      </c>
      <c r="BN21" s="46">
        <v>75597.31</v>
      </c>
      <c r="BO21" s="46">
        <v>0</v>
      </c>
      <c r="BP21" s="46">
        <v>3881.31</v>
      </c>
      <c r="BQ21" s="37">
        <f t="shared" si="49"/>
        <v>2</v>
      </c>
      <c r="BR21" s="39">
        <f t="shared" si="26"/>
        <v>0.99202179537012125</v>
      </c>
      <c r="BS21" s="37">
        <v>27869900</v>
      </c>
      <c r="BT21" s="37">
        <v>37.700000000000003</v>
      </c>
      <c r="BU21" s="37">
        <v>12</v>
      </c>
      <c r="BV21" s="63">
        <v>62100</v>
      </c>
      <c r="BW21" s="37">
        <f t="shared" si="48"/>
        <v>2</v>
      </c>
      <c r="BX21" s="39">
        <f t="shared" si="27"/>
        <v>0.70749802211811552</v>
      </c>
      <c r="BY21" s="46">
        <f>60942.7*1000*1.302</f>
        <v>79347395.400000006</v>
      </c>
      <c r="BZ21" s="45">
        <v>112152109.15000001</v>
      </c>
      <c r="CA21" s="48">
        <f t="shared" si="28"/>
        <v>2</v>
      </c>
      <c r="CB21" s="49">
        <f t="shared" si="29"/>
        <v>2</v>
      </c>
      <c r="CC21" s="37">
        <v>5</v>
      </c>
      <c r="CD21" s="37">
        <v>5</v>
      </c>
      <c r="CE21" s="37">
        <v>5</v>
      </c>
      <c r="CF21" s="37">
        <f t="shared" si="30"/>
        <v>3</v>
      </c>
      <c r="CG21" s="39">
        <f t="shared" si="31"/>
        <v>1</v>
      </c>
      <c r="CH21" s="37">
        <v>2</v>
      </c>
      <c r="CI21" s="37">
        <v>2</v>
      </c>
      <c r="CJ21" s="48">
        <f t="shared" si="32"/>
        <v>0</v>
      </c>
      <c r="CK21" s="37">
        <v>1</v>
      </c>
      <c r="CL21" s="37">
        <f t="shared" si="33"/>
        <v>0</v>
      </c>
      <c r="CM21" s="50">
        <v>80</v>
      </c>
      <c r="CN21" s="50">
        <v>88</v>
      </c>
      <c r="CO21" s="48">
        <f t="shared" si="34"/>
        <v>3</v>
      </c>
      <c r="CP21" s="37"/>
      <c r="CQ21" s="48">
        <f t="shared" si="35"/>
        <v>3</v>
      </c>
      <c r="CR21" s="37"/>
      <c r="CS21" s="37"/>
      <c r="CT21" s="37"/>
      <c r="CU21" s="37"/>
      <c r="CV21" s="37">
        <f t="shared" si="36"/>
        <v>5</v>
      </c>
      <c r="CW21" s="37">
        <v>6</v>
      </c>
      <c r="CX21" s="37">
        <v>6</v>
      </c>
      <c r="CY21" s="51">
        <f t="shared" si="37"/>
        <v>4</v>
      </c>
      <c r="CZ21" s="37"/>
      <c r="DA21" s="37">
        <v>159.4</v>
      </c>
      <c r="DB21" s="37">
        <f t="shared" si="38"/>
        <v>4</v>
      </c>
      <c r="DC21" s="39">
        <f t="shared" si="39"/>
        <v>1</v>
      </c>
      <c r="DD21" s="11">
        <v>176389802.59999999</v>
      </c>
      <c r="DE21" s="11">
        <v>176389802.59999999</v>
      </c>
      <c r="DF21" s="37">
        <f t="shared" si="40"/>
        <v>3</v>
      </c>
      <c r="DG21" s="39">
        <f t="shared" si="41"/>
        <v>0</v>
      </c>
      <c r="DH21" s="46">
        <v>0</v>
      </c>
      <c r="DI21" s="11">
        <v>161693385.00999999</v>
      </c>
      <c r="DJ21" s="37">
        <f t="shared" si="50"/>
        <v>3</v>
      </c>
      <c r="DK21" s="37"/>
      <c r="DL21" s="37"/>
      <c r="DM21" s="37">
        <f t="shared" si="42"/>
        <v>5</v>
      </c>
      <c r="DN21" s="52">
        <f t="shared" si="43"/>
        <v>1</v>
      </c>
      <c r="DO21" s="64">
        <v>20</v>
      </c>
      <c r="DP21" s="64">
        <v>20</v>
      </c>
      <c r="DQ21" s="37">
        <f t="shared" si="44"/>
        <v>4</v>
      </c>
      <c r="DR21" s="39">
        <f t="shared" si="45"/>
        <v>1</v>
      </c>
      <c r="DS21" s="64">
        <v>94</v>
      </c>
      <c r="DT21" s="64">
        <v>94</v>
      </c>
      <c r="DU21" s="54">
        <f t="shared" si="46"/>
        <v>66.435890154302314</v>
      </c>
      <c r="DV21" s="55">
        <f t="shared" si="47"/>
        <v>13</v>
      </c>
      <c r="DW21" s="4"/>
    </row>
    <row r="22" spans="1:127" ht="135">
      <c r="A22" s="35">
        <v>23</v>
      </c>
      <c r="B22" s="35">
        <v>22</v>
      </c>
      <c r="C22" s="56" t="s">
        <v>164</v>
      </c>
      <c r="D22" s="56" t="s">
        <v>186</v>
      </c>
      <c r="E22" s="37">
        <f t="shared" si="0"/>
        <v>0</v>
      </c>
      <c r="F22" s="38">
        <f t="shared" si="1"/>
        <v>1.1876310723752759</v>
      </c>
      <c r="G22" s="57">
        <v>9564557.4000000004</v>
      </c>
      <c r="H22" s="57">
        <v>8053475.21</v>
      </c>
      <c r="I22" s="37">
        <f t="shared" si="2"/>
        <v>2.1277940978064152</v>
      </c>
      <c r="J22" s="39">
        <f t="shared" si="3"/>
        <v>0.95674117594150443</v>
      </c>
      <c r="K22" s="46">
        <v>11307393.279999999</v>
      </c>
      <c r="L22" s="46">
        <v>11818654.369999999</v>
      </c>
      <c r="M22" s="37">
        <f t="shared" si="51"/>
        <v>3</v>
      </c>
      <c r="N22" s="39">
        <f t="shared" si="4"/>
        <v>1.0953515518071122</v>
      </c>
      <c r="O22" s="45">
        <v>9074752.6099999994</v>
      </c>
      <c r="P22" s="46">
        <v>8284785.46</v>
      </c>
      <c r="Q22" s="37">
        <f t="shared" si="5"/>
        <v>3</v>
      </c>
      <c r="R22" s="39">
        <f t="shared" si="6"/>
        <v>0.95674117594150443</v>
      </c>
      <c r="S22" s="40">
        <f t="shared" si="7"/>
        <v>11307393.279999999</v>
      </c>
      <c r="T22" s="41">
        <v>11818654.369999999</v>
      </c>
      <c r="U22" s="37">
        <f t="shared" si="8"/>
        <v>3</v>
      </c>
      <c r="V22" s="39">
        <f t="shared" si="9"/>
        <v>-7.6080365288373813E-3</v>
      </c>
      <c r="W22" s="65" t="s">
        <v>166</v>
      </c>
      <c r="X22" s="8">
        <v>0</v>
      </c>
      <c r="Y22" s="8">
        <v>197811.08</v>
      </c>
      <c r="Z22" s="8">
        <v>197811.08</v>
      </c>
      <c r="AA22" s="40">
        <v>0</v>
      </c>
      <c r="AB22" s="40">
        <v>52000560</v>
      </c>
      <c r="AC22" s="37">
        <f t="shared" si="10"/>
        <v>3</v>
      </c>
      <c r="AD22" s="38">
        <f t="shared" si="11"/>
        <v>8.8565282996076243E-6</v>
      </c>
      <c r="AE22" s="57">
        <v>50</v>
      </c>
      <c r="AF22" s="57">
        <v>5645553.0099999998</v>
      </c>
      <c r="AG22" s="37">
        <f t="shared" si="12"/>
        <v>0</v>
      </c>
      <c r="AH22" s="42">
        <f t="shared" si="13"/>
        <v>9</v>
      </c>
      <c r="AI22" s="42">
        <v>23</v>
      </c>
      <c r="AJ22" s="42">
        <v>18</v>
      </c>
      <c r="AK22" s="37"/>
      <c r="AL22" s="42"/>
      <c r="AM22" s="37"/>
      <c r="AN22" s="37"/>
      <c r="AO22" s="37">
        <f t="shared" si="14"/>
        <v>2.9814256849269478</v>
      </c>
      <c r="AP22" s="39">
        <f t="shared" si="15"/>
        <v>6.1914383576840027E-3</v>
      </c>
      <c r="AQ22" s="57">
        <v>411215</v>
      </c>
      <c r="AR22" s="57">
        <v>66416715.509999998</v>
      </c>
      <c r="AS22" s="37">
        <f t="shared" si="16"/>
        <v>0</v>
      </c>
      <c r="AT22" s="39">
        <f t="shared" si="17"/>
        <v>0.14858299077316831</v>
      </c>
      <c r="AU22" s="45">
        <f t="shared" si="18"/>
        <v>9074752.6099999994</v>
      </c>
      <c r="AV22" s="46">
        <f t="shared" si="19"/>
        <v>52000560</v>
      </c>
      <c r="AW22" s="37">
        <f t="shared" si="20"/>
        <v>0</v>
      </c>
      <c r="AX22" s="39">
        <f t="shared" si="52"/>
        <v>-6.7641404578537845E-2</v>
      </c>
      <c r="AY22" s="45">
        <f t="shared" si="53"/>
        <v>9074752.6099999994</v>
      </c>
      <c r="AZ22" s="46">
        <v>9733114.1199999992</v>
      </c>
      <c r="BA22" s="37">
        <v>2</v>
      </c>
      <c r="BB22" s="46">
        <f t="shared" si="54"/>
        <v>9074752.6099999994</v>
      </c>
      <c r="BC22" s="46">
        <v>0</v>
      </c>
      <c r="BD22" s="37">
        <f t="shared" si="21"/>
        <v>1</v>
      </c>
      <c r="BE22" s="39">
        <f t="shared" si="22"/>
        <v>0</v>
      </c>
      <c r="BF22" s="37">
        <v>0</v>
      </c>
      <c r="BG22" s="46">
        <v>2348059.64</v>
      </c>
      <c r="BH22" s="37">
        <f t="shared" si="23"/>
        <v>1</v>
      </c>
      <c r="BI22" s="37">
        <v>0</v>
      </c>
      <c r="BJ22" s="46">
        <v>1929669.97</v>
      </c>
      <c r="BK22" s="37">
        <f t="shared" si="24"/>
        <v>4</v>
      </c>
      <c r="BL22" s="38">
        <f t="shared" si="25"/>
        <v>0</v>
      </c>
      <c r="BM22" s="46">
        <v>0</v>
      </c>
      <c r="BN22" s="46">
        <v>38230.58</v>
      </c>
      <c r="BO22" s="46">
        <v>0</v>
      </c>
      <c r="BP22" s="46">
        <v>11192.58</v>
      </c>
      <c r="BQ22" s="37">
        <f t="shared" si="49"/>
        <v>0</v>
      </c>
      <c r="BR22" s="39">
        <f t="shared" si="26"/>
        <v>0.92620979396341729</v>
      </c>
      <c r="BS22" s="37">
        <v>17945500</v>
      </c>
      <c r="BT22" s="37">
        <v>26</v>
      </c>
      <c r="BU22" s="37">
        <v>12</v>
      </c>
      <c r="BV22" s="63">
        <v>62100</v>
      </c>
      <c r="BW22" s="37">
        <f t="shared" si="48"/>
        <v>2</v>
      </c>
      <c r="BX22" s="39">
        <f t="shared" si="27"/>
        <v>0.71923753351051412</v>
      </c>
      <c r="BY22" s="46">
        <f>33738.6*1000*1.302</f>
        <v>43927657.200000003</v>
      </c>
      <c r="BZ22" s="45">
        <v>61075312.609999999</v>
      </c>
      <c r="CA22" s="48">
        <f t="shared" si="28"/>
        <v>2</v>
      </c>
      <c r="CB22" s="49">
        <f t="shared" si="29"/>
        <v>1.5</v>
      </c>
      <c r="CC22" s="37">
        <v>1</v>
      </c>
      <c r="CD22" s="37">
        <v>2</v>
      </c>
      <c r="CE22" s="37">
        <v>2</v>
      </c>
      <c r="CF22" s="37">
        <f t="shared" si="30"/>
        <v>3</v>
      </c>
      <c r="CG22" s="39">
        <f t="shared" si="31"/>
        <v>1</v>
      </c>
      <c r="CH22" s="37">
        <v>2</v>
      </c>
      <c r="CI22" s="37">
        <v>2</v>
      </c>
      <c r="CJ22" s="48">
        <f t="shared" si="32"/>
        <v>0</v>
      </c>
      <c r="CK22" s="37">
        <v>1</v>
      </c>
      <c r="CL22" s="37">
        <f t="shared" si="33"/>
        <v>0</v>
      </c>
      <c r="CM22" s="50">
        <v>78</v>
      </c>
      <c r="CN22" s="50">
        <v>88</v>
      </c>
      <c r="CO22" s="48">
        <f t="shared" si="34"/>
        <v>3</v>
      </c>
      <c r="CP22" s="37"/>
      <c r="CQ22" s="48">
        <f t="shared" si="35"/>
        <v>3</v>
      </c>
      <c r="CR22" s="37">
        <v>0</v>
      </c>
      <c r="CS22" s="37"/>
      <c r="CT22" s="37"/>
      <c r="CU22" s="37"/>
      <c r="CV22" s="37">
        <f t="shared" si="36"/>
        <v>5</v>
      </c>
      <c r="CW22" s="37">
        <v>6</v>
      </c>
      <c r="CX22" s="37">
        <v>6</v>
      </c>
      <c r="CY22" s="51">
        <f t="shared" si="37"/>
        <v>4</v>
      </c>
      <c r="CZ22" s="37"/>
      <c r="DA22" s="37">
        <v>172.1</v>
      </c>
      <c r="DB22" s="37">
        <f t="shared" si="38"/>
        <v>4</v>
      </c>
      <c r="DC22" s="39">
        <f t="shared" si="39"/>
        <v>1</v>
      </c>
      <c r="DD22" s="46">
        <v>78787618.209999993</v>
      </c>
      <c r="DE22" s="46">
        <v>78787618.209999993</v>
      </c>
      <c r="DF22" s="37">
        <f t="shared" si="40"/>
        <v>3</v>
      </c>
      <c r="DG22" s="39">
        <f t="shared" si="41"/>
        <v>0</v>
      </c>
      <c r="DH22" s="46">
        <v>0</v>
      </c>
      <c r="DI22" s="46">
        <v>67480224.930000007</v>
      </c>
      <c r="DJ22" s="37">
        <f t="shared" si="50"/>
        <v>3</v>
      </c>
      <c r="DK22" s="37"/>
      <c r="DL22" s="37"/>
      <c r="DM22" s="37">
        <f t="shared" si="42"/>
        <v>5</v>
      </c>
      <c r="DN22" s="52">
        <f t="shared" si="43"/>
        <v>1</v>
      </c>
      <c r="DO22" s="64">
        <v>9</v>
      </c>
      <c r="DP22" s="64">
        <v>9</v>
      </c>
      <c r="DQ22" s="37">
        <f t="shared" si="44"/>
        <v>4</v>
      </c>
      <c r="DR22" s="39">
        <f t="shared" si="45"/>
        <v>1</v>
      </c>
      <c r="DS22" s="64">
        <v>54</v>
      </c>
      <c r="DT22" s="64">
        <v>54</v>
      </c>
      <c r="DU22" s="54">
        <f t="shared" si="46"/>
        <v>66.109219782733362</v>
      </c>
      <c r="DV22" s="55">
        <f t="shared" si="47"/>
        <v>14</v>
      </c>
      <c r="DW22" s="4"/>
    </row>
    <row r="23" spans="1:127" ht="120">
      <c r="A23" s="35">
        <v>16</v>
      </c>
      <c r="B23" s="35">
        <v>8</v>
      </c>
      <c r="C23" s="56" t="s">
        <v>161</v>
      </c>
      <c r="D23" s="56" t="s">
        <v>179</v>
      </c>
      <c r="E23" s="37">
        <f t="shared" si="0"/>
        <v>0</v>
      </c>
      <c r="F23" s="38">
        <f t="shared" si="1"/>
        <v>2.1049498234393313</v>
      </c>
      <c r="G23" s="57">
        <v>35083000</v>
      </c>
      <c r="H23" s="57">
        <v>16666905.6</v>
      </c>
      <c r="I23" s="37">
        <f t="shared" si="2"/>
        <v>0</v>
      </c>
      <c r="J23" s="39">
        <f t="shared" si="3"/>
        <v>0.88940480962318036</v>
      </c>
      <c r="K23" s="46">
        <v>34902409.869999997</v>
      </c>
      <c r="L23" s="46">
        <v>39242434.369999997</v>
      </c>
      <c r="M23" s="37">
        <f t="shared" si="51"/>
        <v>3</v>
      </c>
      <c r="N23" s="39">
        <f t="shared" si="4"/>
        <v>2.9255242955465586</v>
      </c>
      <c r="O23" s="45">
        <v>36130225.049999997</v>
      </c>
      <c r="P23" s="46">
        <v>12350000</v>
      </c>
      <c r="Q23" s="37">
        <f t="shared" si="5"/>
        <v>2.0910721443477054</v>
      </c>
      <c r="R23" s="39">
        <f t="shared" si="6"/>
        <v>0.88940480962318036</v>
      </c>
      <c r="S23" s="40">
        <f t="shared" si="7"/>
        <v>34902409.869999997</v>
      </c>
      <c r="T23" s="41">
        <v>39242434.369999997</v>
      </c>
      <c r="U23" s="37">
        <f t="shared" si="8"/>
        <v>3</v>
      </c>
      <c r="V23" s="39">
        <f t="shared" si="9"/>
        <v>-2.6758618119989842E-2</v>
      </c>
      <c r="W23" s="65" t="s">
        <v>166</v>
      </c>
      <c r="X23" s="8">
        <v>0</v>
      </c>
      <c r="Y23" s="8">
        <v>879741.75</v>
      </c>
      <c r="Z23" s="8">
        <v>879741.75</v>
      </c>
      <c r="AA23" s="40">
        <v>0</v>
      </c>
      <c r="AB23" s="40">
        <v>65753900</v>
      </c>
      <c r="AC23" s="37">
        <f t="shared" si="10"/>
        <v>3</v>
      </c>
      <c r="AD23" s="38">
        <f t="shared" si="11"/>
        <v>3.1090646776603115E-3</v>
      </c>
      <c r="AE23" s="57">
        <v>34215</v>
      </c>
      <c r="AF23" s="57">
        <v>11004917.41</v>
      </c>
      <c r="AG23" s="37">
        <f t="shared" si="12"/>
        <v>0</v>
      </c>
      <c r="AH23" s="42">
        <f t="shared" si="13"/>
        <v>14</v>
      </c>
      <c r="AI23" s="42">
        <v>26</v>
      </c>
      <c r="AJ23" s="42">
        <v>16</v>
      </c>
      <c r="AK23" s="37"/>
      <c r="AL23" s="42"/>
      <c r="AM23" s="37"/>
      <c r="AN23" s="37"/>
      <c r="AO23" s="37">
        <f t="shared" si="14"/>
        <v>2.9989856416987051</v>
      </c>
      <c r="AP23" s="39">
        <f t="shared" si="15"/>
        <v>3.3811943376502667E-4</v>
      </c>
      <c r="AQ23" s="57">
        <v>34215</v>
      </c>
      <c r="AR23" s="57">
        <v>101192054</v>
      </c>
      <c r="AS23" s="37">
        <f t="shared" si="16"/>
        <v>1.0132021487931642</v>
      </c>
      <c r="AT23" s="39">
        <f t="shared" si="17"/>
        <v>0.3546207520776074</v>
      </c>
      <c r="AU23" s="45">
        <f t="shared" si="18"/>
        <v>36130225.049999997</v>
      </c>
      <c r="AV23" s="46">
        <f t="shared" si="19"/>
        <v>65753900</v>
      </c>
      <c r="AW23" s="37">
        <f t="shared" si="20"/>
        <v>2</v>
      </c>
      <c r="AX23" s="39">
        <f t="shared" si="52"/>
        <v>0.36083991922298897</v>
      </c>
      <c r="AY23" s="45">
        <f t="shared" si="53"/>
        <v>36130225.049999997</v>
      </c>
      <c r="AZ23" s="46">
        <v>26549945.030000001</v>
      </c>
      <c r="BA23" s="37">
        <v>2</v>
      </c>
      <c r="BB23" s="46">
        <f t="shared" si="54"/>
        <v>36130225.049999997</v>
      </c>
      <c r="BC23" s="46">
        <v>0</v>
      </c>
      <c r="BD23" s="37">
        <f t="shared" si="21"/>
        <v>1</v>
      </c>
      <c r="BE23" s="39">
        <f t="shared" si="22"/>
        <v>0</v>
      </c>
      <c r="BF23" s="37">
        <v>0</v>
      </c>
      <c r="BG23" s="46">
        <v>243600.4</v>
      </c>
      <c r="BH23" s="37">
        <f t="shared" si="23"/>
        <v>1</v>
      </c>
      <c r="BI23" s="37">
        <v>0</v>
      </c>
      <c r="BJ23" s="46">
        <v>11729664.289999999</v>
      </c>
      <c r="BK23" s="37">
        <f t="shared" si="24"/>
        <v>4</v>
      </c>
      <c r="BL23" s="38">
        <f t="shared" si="25"/>
        <v>0</v>
      </c>
      <c r="BM23" s="46">
        <v>0</v>
      </c>
      <c r="BN23" s="46">
        <v>66080.12</v>
      </c>
      <c r="BO23" s="46">
        <v>0</v>
      </c>
      <c r="BP23" s="46">
        <v>18227.59</v>
      </c>
      <c r="BQ23" s="37">
        <f t="shared" si="49"/>
        <v>0</v>
      </c>
      <c r="BR23" s="39">
        <f t="shared" si="26"/>
        <v>1.1409600720516424</v>
      </c>
      <c r="BS23" s="37">
        <v>22701500</v>
      </c>
      <c r="BT23" s="37">
        <v>26.7</v>
      </c>
      <c r="BU23" s="37">
        <v>12</v>
      </c>
      <c r="BV23" s="63">
        <v>62100</v>
      </c>
      <c r="BW23" s="37">
        <f t="shared" si="48"/>
        <v>0</v>
      </c>
      <c r="BX23" s="39">
        <f t="shared" si="27"/>
        <v>0.63080036039432041</v>
      </c>
      <c r="BY23" s="46">
        <f>49361.4*1000*1.302</f>
        <v>64268542.800000004</v>
      </c>
      <c r="BZ23" s="45">
        <v>101884125.05</v>
      </c>
      <c r="CA23" s="48">
        <f t="shared" si="28"/>
        <v>2</v>
      </c>
      <c r="CB23" s="49">
        <f t="shared" si="29"/>
        <v>1</v>
      </c>
      <c r="CC23" s="37">
        <v>1</v>
      </c>
      <c r="CD23" s="37">
        <v>3</v>
      </c>
      <c r="CE23" s="37">
        <v>4</v>
      </c>
      <c r="CF23" s="37">
        <f t="shared" si="30"/>
        <v>3</v>
      </c>
      <c r="CG23" s="39">
        <f t="shared" si="31"/>
        <v>1</v>
      </c>
      <c r="CH23" s="37">
        <v>3</v>
      </c>
      <c r="CI23" s="37">
        <v>3</v>
      </c>
      <c r="CJ23" s="48">
        <f t="shared" si="32"/>
        <v>0</v>
      </c>
      <c r="CK23" s="37">
        <v>1</v>
      </c>
      <c r="CL23" s="37">
        <f t="shared" si="33"/>
        <v>2</v>
      </c>
      <c r="CM23" s="50">
        <v>88</v>
      </c>
      <c r="CN23" s="50">
        <v>88</v>
      </c>
      <c r="CO23" s="48">
        <f t="shared" si="34"/>
        <v>3</v>
      </c>
      <c r="CP23" s="37"/>
      <c r="CQ23" s="48">
        <f t="shared" si="35"/>
        <v>3</v>
      </c>
      <c r="CR23" s="37"/>
      <c r="CS23" s="37"/>
      <c r="CT23" s="37"/>
      <c r="CU23" s="37"/>
      <c r="CV23" s="37">
        <f t="shared" si="36"/>
        <v>5</v>
      </c>
      <c r="CW23" s="37">
        <v>6</v>
      </c>
      <c r="CX23" s="37">
        <v>6</v>
      </c>
      <c r="CY23" s="51">
        <f t="shared" si="37"/>
        <v>4</v>
      </c>
      <c r="CZ23" s="37"/>
      <c r="DA23" s="37">
        <v>159.4</v>
      </c>
      <c r="DB23" s="37">
        <f t="shared" si="38"/>
        <v>4</v>
      </c>
      <c r="DC23" s="39">
        <f t="shared" si="39"/>
        <v>1</v>
      </c>
      <c r="DD23" s="46">
        <v>136060248.87</v>
      </c>
      <c r="DE23" s="46">
        <v>136060248.87</v>
      </c>
      <c r="DF23" s="37">
        <f t="shared" si="40"/>
        <v>3</v>
      </c>
      <c r="DG23" s="39">
        <f t="shared" si="41"/>
        <v>0</v>
      </c>
      <c r="DH23" s="46">
        <v>0</v>
      </c>
      <c r="DI23" s="46">
        <v>101157839</v>
      </c>
      <c r="DJ23" s="37">
        <f t="shared" si="50"/>
        <v>3</v>
      </c>
      <c r="DK23" s="37"/>
      <c r="DL23" s="37"/>
      <c r="DM23" s="37">
        <f t="shared" si="42"/>
        <v>5</v>
      </c>
      <c r="DN23" s="52">
        <f t="shared" si="43"/>
        <v>1</v>
      </c>
      <c r="DO23" s="64">
        <v>12</v>
      </c>
      <c r="DP23" s="64">
        <v>12</v>
      </c>
      <c r="DQ23" s="37">
        <f t="shared" si="44"/>
        <v>4</v>
      </c>
      <c r="DR23" s="39">
        <f t="shared" si="45"/>
        <v>1</v>
      </c>
      <c r="DS23" s="64">
        <v>55</v>
      </c>
      <c r="DT23" s="64">
        <v>55</v>
      </c>
      <c r="DU23" s="54">
        <f t="shared" si="46"/>
        <v>66.103259934839571</v>
      </c>
      <c r="DV23" s="55">
        <f t="shared" si="47"/>
        <v>15</v>
      </c>
      <c r="DW23" s="4"/>
    </row>
    <row r="24" spans="1:127" ht="105">
      <c r="A24" s="35">
        <v>57</v>
      </c>
      <c r="B24" s="35">
        <v>23</v>
      </c>
      <c r="C24" s="56" t="s">
        <v>164</v>
      </c>
      <c r="D24" s="56" t="s">
        <v>223</v>
      </c>
      <c r="E24" s="37">
        <f t="shared" si="0"/>
        <v>3</v>
      </c>
      <c r="F24" s="38">
        <f t="shared" si="1"/>
        <v>1</v>
      </c>
      <c r="G24" s="57">
        <v>84624896.980000004</v>
      </c>
      <c r="H24" s="57">
        <v>84624896.980000004</v>
      </c>
      <c r="I24" s="37">
        <f t="shared" si="2"/>
        <v>0</v>
      </c>
      <c r="J24" s="39">
        <f t="shared" si="3"/>
        <v>0.69697627120250094</v>
      </c>
      <c r="K24" s="46">
        <v>78003500.989999995</v>
      </c>
      <c r="L24" s="46">
        <v>111917010.97</v>
      </c>
      <c r="M24" s="37">
        <f t="shared" si="51"/>
        <v>3</v>
      </c>
      <c r="N24" s="39">
        <f t="shared" si="4"/>
        <v>1.1354339727999998</v>
      </c>
      <c r="O24" s="45">
        <v>85157547.959999993</v>
      </c>
      <c r="P24" s="46">
        <v>75000000</v>
      </c>
      <c r="Q24" s="37">
        <f t="shared" si="5"/>
        <v>3</v>
      </c>
      <c r="R24" s="39">
        <f t="shared" si="6"/>
        <v>1.0400466798666665</v>
      </c>
      <c r="S24" s="40">
        <f t="shared" si="7"/>
        <v>78003500.989999995</v>
      </c>
      <c r="T24" s="41">
        <v>75000000</v>
      </c>
      <c r="U24" s="37">
        <f t="shared" si="8"/>
        <v>3</v>
      </c>
      <c r="V24" s="39">
        <f t="shared" si="9"/>
        <v>-0.15369711908806691</v>
      </c>
      <c r="W24" s="65">
        <v>5347840.41</v>
      </c>
      <c r="X24" s="8">
        <v>3567603.29</v>
      </c>
      <c r="Y24" s="8">
        <v>20249421.969999999</v>
      </c>
      <c r="Z24" s="8">
        <v>3063474.14</v>
      </c>
      <c r="AA24" s="40">
        <v>0</v>
      </c>
      <c r="AB24" s="40">
        <v>140098000</v>
      </c>
      <c r="AC24" s="37">
        <f t="shared" si="10"/>
        <v>0</v>
      </c>
      <c r="AD24" s="38">
        <f t="shared" si="11"/>
        <v>0.12150861981674455</v>
      </c>
      <c r="AE24" s="57">
        <v>6150512.7599999998</v>
      </c>
      <c r="AF24" s="57">
        <v>50617913.109999999</v>
      </c>
      <c r="AG24" s="37">
        <f t="shared" si="12"/>
        <v>1</v>
      </c>
      <c r="AH24" s="42">
        <f t="shared" si="13"/>
        <v>4</v>
      </c>
      <c r="AI24" s="42">
        <v>12</v>
      </c>
      <c r="AJ24" s="42">
        <v>12</v>
      </c>
      <c r="AK24" s="37"/>
      <c r="AL24" s="42"/>
      <c r="AM24" s="63"/>
      <c r="AN24" s="37"/>
      <c r="AO24" s="37">
        <f t="shared" si="14"/>
        <v>2.9250820571796834</v>
      </c>
      <c r="AP24" s="39">
        <f t="shared" si="15"/>
        <v>2.4972647606772234E-2</v>
      </c>
      <c r="AQ24" s="57">
        <v>6150512.7599999998</v>
      </c>
      <c r="AR24" s="57">
        <v>246289975.21000001</v>
      </c>
      <c r="AS24" s="37">
        <f t="shared" si="16"/>
        <v>1.0801389004142081</v>
      </c>
      <c r="AT24" s="39">
        <f t="shared" si="17"/>
        <v>0.37804861514497279</v>
      </c>
      <c r="AU24" s="45">
        <f t="shared" si="18"/>
        <v>85157547.959999993</v>
      </c>
      <c r="AV24" s="46">
        <f t="shared" si="19"/>
        <v>140098000</v>
      </c>
      <c r="AW24" s="37">
        <f t="shared" si="20"/>
        <v>2</v>
      </c>
      <c r="AX24" s="39">
        <f t="shared" si="52"/>
        <v>0.11988601176341729</v>
      </c>
      <c r="AY24" s="45">
        <f t="shared" si="53"/>
        <v>85157547.959999993</v>
      </c>
      <c r="AZ24" s="46">
        <v>76041264.079999998</v>
      </c>
      <c r="BA24" s="37">
        <v>2</v>
      </c>
      <c r="BB24" s="46">
        <f t="shared" si="54"/>
        <v>85157547.959999993</v>
      </c>
      <c r="BC24" s="46">
        <v>0</v>
      </c>
      <c r="BD24" s="37">
        <f t="shared" si="21"/>
        <v>1</v>
      </c>
      <c r="BE24" s="39">
        <f t="shared" si="22"/>
        <v>0</v>
      </c>
      <c r="BF24" s="37">
        <v>0</v>
      </c>
      <c r="BG24" s="46">
        <v>10560030.130000001</v>
      </c>
      <c r="BH24" s="37">
        <f t="shared" si="23"/>
        <v>1</v>
      </c>
      <c r="BI24" s="37">
        <v>0</v>
      </c>
      <c r="BJ24" s="46">
        <v>181750.74</v>
      </c>
      <c r="BK24" s="37">
        <f t="shared" si="24"/>
        <v>4</v>
      </c>
      <c r="BL24" s="38">
        <f t="shared" si="25"/>
        <v>0</v>
      </c>
      <c r="BM24" s="46">
        <v>0</v>
      </c>
      <c r="BN24" s="46">
        <v>196621.12</v>
      </c>
      <c r="BO24" s="46">
        <v>82.32</v>
      </c>
      <c r="BP24" s="46">
        <v>24606.58</v>
      </c>
      <c r="BQ24" s="37">
        <f t="shared" si="49"/>
        <v>0</v>
      </c>
      <c r="BR24" s="39">
        <f t="shared" si="26"/>
        <v>1.2725330679385438</v>
      </c>
      <c r="BS24" s="37">
        <v>6457728.6500000004</v>
      </c>
      <c r="BT24" s="63">
        <v>6.8</v>
      </c>
      <c r="BU24" s="37">
        <v>12</v>
      </c>
      <c r="BV24" s="63">
        <v>62190</v>
      </c>
      <c r="BW24" s="37">
        <f t="shared" si="48"/>
        <v>0</v>
      </c>
      <c r="BX24" s="39">
        <f t="shared" si="27"/>
        <v>0.49091109431691526</v>
      </c>
      <c r="BY24" s="46">
        <v>110580447.55</v>
      </c>
      <c r="BZ24" s="45">
        <v>225255547.96000001</v>
      </c>
      <c r="CA24" s="48">
        <f t="shared" si="28"/>
        <v>2</v>
      </c>
      <c r="CB24" s="49">
        <f t="shared" si="29"/>
        <v>1.6666666666666667</v>
      </c>
      <c r="CC24" s="37">
        <v>3</v>
      </c>
      <c r="CD24" s="37">
        <v>2</v>
      </c>
      <c r="CE24" s="37">
        <v>3</v>
      </c>
      <c r="CF24" s="37">
        <f t="shared" si="30"/>
        <v>3</v>
      </c>
      <c r="CG24" s="39">
        <f t="shared" si="31"/>
        <v>1</v>
      </c>
      <c r="CH24" s="37">
        <v>2</v>
      </c>
      <c r="CI24" s="37">
        <v>2</v>
      </c>
      <c r="CJ24" s="48">
        <f t="shared" si="32"/>
        <v>0</v>
      </c>
      <c r="CK24" s="63">
        <v>1</v>
      </c>
      <c r="CL24" s="37">
        <f t="shared" si="33"/>
        <v>0</v>
      </c>
      <c r="CM24" s="50">
        <v>81</v>
      </c>
      <c r="CN24" s="50">
        <v>88</v>
      </c>
      <c r="CO24" s="48">
        <f t="shared" si="34"/>
        <v>3</v>
      </c>
      <c r="CP24" s="37"/>
      <c r="CQ24" s="48">
        <f t="shared" si="35"/>
        <v>3</v>
      </c>
      <c r="CR24" s="63"/>
      <c r="CS24" s="37"/>
      <c r="CT24" s="37"/>
      <c r="CU24" s="37"/>
      <c r="CV24" s="37">
        <f t="shared" si="36"/>
        <v>5</v>
      </c>
      <c r="CW24" s="37">
        <v>6</v>
      </c>
      <c r="CX24" s="37">
        <v>6</v>
      </c>
      <c r="CY24" s="51">
        <f t="shared" si="37"/>
        <v>4</v>
      </c>
      <c r="CZ24" s="37"/>
      <c r="DA24" s="37">
        <v>214.63</v>
      </c>
      <c r="DB24" s="37">
        <f t="shared" si="38"/>
        <v>4</v>
      </c>
      <c r="DC24" s="39">
        <f t="shared" si="39"/>
        <v>1</v>
      </c>
      <c r="DD24" s="46">
        <v>345155219.45999998</v>
      </c>
      <c r="DE24" s="46">
        <v>345155219.45999998</v>
      </c>
      <c r="DF24" s="37">
        <f t="shared" si="40"/>
        <v>3</v>
      </c>
      <c r="DG24" s="39">
        <f t="shared" si="41"/>
        <v>0</v>
      </c>
      <c r="DH24" s="46">
        <v>0</v>
      </c>
      <c r="DI24" s="46">
        <v>267151718.47</v>
      </c>
      <c r="DJ24" s="37">
        <f t="shared" si="50"/>
        <v>3</v>
      </c>
      <c r="DK24" s="37"/>
      <c r="DL24" s="37"/>
      <c r="DM24" s="37">
        <f t="shared" si="42"/>
        <v>5</v>
      </c>
      <c r="DN24" s="52">
        <f t="shared" si="43"/>
        <v>1</v>
      </c>
      <c r="DO24" s="64">
        <v>32</v>
      </c>
      <c r="DP24" s="64">
        <v>32</v>
      </c>
      <c r="DQ24" s="37">
        <f t="shared" si="44"/>
        <v>4</v>
      </c>
      <c r="DR24" s="39">
        <f t="shared" si="45"/>
        <v>1</v>
      </c>
      <c r="DS24" s="64">
        <v>89</v>
      </c>
      <c r="DT24" s="64">
        <v>89</v>
      </c>
      <c r="DU24" s="54">
        <f t="shared" si="46"/>
        <v>66.005220957593892</v>
      </c>
      <c r="DV24" s="55">
        <f t="shared" si="47"/>
        <v>16</v>
      </c>
      <c r="DW24" s="4"/>
    </row>
    <row r="25" spans="1:127" ht="135">
      <c r="A25" s="35">
        <v>4</v>
      </c>
      <c r="B25" s="35">
        <v>6</v>
      </c>
      <c r="C25" s="56" t="s">
        <v>161</v>
      </c>
      <c r="D25" s="56" t="s">
        <v>167</v>
      </c>
      <c r="E25" s="37">
        <f t="shared" si="0"/>
        <v>0</v>
      </c>
      <c r="F25" s="38">
        <f t="shared" si="1"/>
        <v>1.1967994295496356</v>
      </c>
      <c r="G25" s="69">
        <v>3296832.58</v>
      </c>
      <c r="H25" s="57">
        <v>2754707.68</v>
      </c>
      <c r="I25" s="37">
        <f t="shared" si="2"/>
        <v>3</v>
      </c>
      <c r="J25" s="39">
        <f t="shared" si="3"/>
        <v>1.0102458846678481</v>
      </c>
      <c r="K25" s="70">
        <v>2366403.88</v>
      </c>
      <c r="L25" s="46">
        <v>2342403.88</v>
      </c>
      <c r="M25" s="37">
        <f t="shared" si="51"/>
        <v>3</v>
      </c>
      <c r="N25" s="39">
        <f t="shared" si="4"/>
        <v>1.4659104401956426</v>
      </c>
      <c r="O25" s="45">
        <v>3296832.58</v>
      </c>
      <c r="P25" s="46">
        <v>2249000</v>
      </c>
      <c r="Q25" s="37">
        <f t="shared" si="5"/>
        <v>3</v>
      </c>
      <c r="R25" s="39">
        <f t="shared" si="6"/>
        <v>1.0102458846678481</v>
      </c>
      <c r="S25" s="40">
        <f t="shared" si="7"/>
        <v>2366403.88</v>
      </c>
      <c r="T25" s="41">
        <v>2342403.88</v>
      </c>
      <c r="U25" s="37">
        <f t="shared" si="8"/>
        <v>3</v>
      </c>
      <c r="V25" s="39">
        <f t="shared" si="9"/>
        <v>-0.2924809088405993</v>
      </c>
      <c r="W25" s="65" t="s">
        <v>166</v>
      </c>
      <c r="X25" s="8">
        <v>0</v>
      </c>
      <c r="Y25" s="8">
        <v>18455128.170000002</v>
      </c>
      <c r="Z25" s="8">
        <v>8632260</v>
      </c>
      <c r="AA25" s="40">
        <v>0</v>
      </c>
      <c r="AB25" s="71">
        <v>92612500</v>
      </c>
      <c r="AC25" s="37">
        <f t="shared" si="10"/>
        <v>0</v>
      </c>
      <c r="AD25" s="38">
        <f t="shared" si="11"/>
        <v>0.15909827483862596</v>
      </c>
      <c r="AE25" s="57">
        <v>1659272.8</v>
      </c>
      <c r="AF25" s="57">
        <v>10429231.880000003</v>
      </c>
      <c r="AG25" s="37">
        <f t="shared" si="12"/>
        <v>0</v>
      </c>
      <c r="AH25" s="42">
        <f t="shared" si="13"/>
        <v>20</v>
      </c>
      <c r="AI25" s="42">
        <v>27</v>
      </c>
      <c r="AJ25" s="42">
        <v>11</v>
      </c>
      <c r="AK25" s="37"/>
      <c r="AL25" s="42"/>
      <c r="AM25" s="37"/>
      <c r="AN25" s="37"/>
      <c r="AO25" s="37">
        <f t="shared" si="14"/>
        <v>2.9609492699634803</v>
      </c>
      <c r="AP25" s="39">
        <f t="shared" si="15"/>
        <v>1.3016910012173241E-2</v>
      </c>
      <c r="AQ25" s="57">
        <v>1659272.8</v>
      </c>
      <c r="AR25" s="57">
        <v>127470559.33</v>
      </c>
      <c r="AS25" s="37">
        <f t="shared" si="16"/>
        <v>0</v>
      </c>
      <c r="AT25" s="39">
        <f t="shared" si="17"/>
        <v>3.4374471089662129E-2</v>
      </c>
      <c r="AU25" s="45">
        <f t="shared" si="18"/>
        <v>3296832.58</v>
      </c>
      <c r="AV25" s="46">
        <f t="shared" si="19"/>
        <v>92612500</v>
      </c>
      <c r="AW25" s="37">
        <f t="shared" si="20"/>
        <v>2</v>
      </c>
      <c r="AX25" s="39">
        <f t="shared" si="52"/>
        <v>0.11341760528056777</v>
      </c>
      <c r="AY25" s="45">
        <f t="shared" si="53"/>
        <v>3296832.58</v>
      </c>
      <c r="AZ25" s="46">
        <v>2961002.74</v>
      </c>
      <c r="BA25" s="37">
        <v>2</v>
      </c>
      <c r="BB25" s="46">
        <f t="shared" si="54"/>
        <v>3296832.58</v>
      </c>
      <c r="BC25" s="46">
        <v>0</v>
      </c>
      <c r="BD25" s="37">
        <f t="shared" si="21"/>
        <v>1</v>
      </c>
      <c r="BE25" s="39">
        <f t="shared" si="22"/>
        <v>0</v>
      </c>
      <c r="BF25" s="37">
        <v>0</v>
      </c>
      <c r="BG25" s="46">
        <v>2142426.38</v>
      </c>
      <c r="BH25" s="37">
        <f t="shared" si="23"/>
        <v>1</v>
      </c>
      <c r="BI25" s="37">
        <v>0</v>
      </c>
      <c r="BJ25" s="46">
        <v>4615145.24</v>
      </c>
      <c r="BK25" s="37">
        <f t="shared" si="24"/>
        <v>4</v>
      </c>
      <c r="BL25" s="38">
        <f t="shared" si="25"/>
        <v>0</v>
      </c>
      <c r="BM25" s="46">
        <v>0</v>
      </c>
      <c r="BN25" s="46">
        <v>31820.6</v>
      </c>
      <c r="BO25" s="46">
        <v>0</v>
      </c>
      <c r="BP25" s="46">
        <v>2682.99</v>
      </c>
      <c r="BQ25" s="37">
        <f t="shared" si="49"/>
        <v>0</v>
      </c>
      <c r="BR25" s="39">
        <f t="shared" si="26"/>
        <v>0.89823390408674697</v>
      </c>
      <c r="BS25" s="64">
        <v>22624500</v>
      </c>
      <c r="BT25" s="37">
        <v>33.799999999999997</v>
      </c>
      <c r="BU25" s="37">
        <v>12</v>
      </c>
      <c r="BV25" s="63">
        <v>62100</v>
      </c>
      <c r="BW25" s="37">
        <f t="shared" si="48"/>
        <v>2</v>
      </c>
      <c r="BX25" s="39">
        <f t="shared" si="27"/>
        <v>0.70723486834215232</v>
      </c>
      <c r="BY25" s="70">
        <f>52097.1*1000*1.302</f>
        <v>67830424.200000003</v>
      </c>
      <c r="BZ25" s="45">
        <v>95909332.579999998</v>
      </c>
      <c r="CA25" s="48">
        <f t="shared" si="28"/>
        <v>2</v>
      </c>
      <c r="CB25" s="49">
        <f t="shared" si="29"/>
        <v>1.5</v>
      </c>
      <c r="CC25" s="37">
        <v>4</v>
      </c>
      <c r="CD25" s="37">
        <v>2</v>
      </c>
      <c r="CE25" s="37">
        <v>4</v>
      </c>
      <c r="CF25" s="37">
        <f t="shared" si="30"/>
        <v>3</v>
      </c>
      <c r="CG25" s="39">
        <f t="shared" si="31"/>
        <v>1</v>
      </c>
      <c r="CH25" s="37">
        <v>2</v>
      </c>
      <c r="CI25" s="37">
        <v>2</v>
      </c>
      <c r="CJ25" s="48">
        <f t="shared" si="32"/>
        <v>0</v>
      </c>
      <c r="CK25" s="37">
        <v>1</v>
      </c>
      <c r="CL25" s="37">
        <f t="shared" si="33"/>
        <v>0</v>
      </c>
      <c r="CM25" s="50">
        <v>60</v>
      </c>
      <c r="CN25" s="50">
        <v>88</v>
      </c>
      <c r="CO25" s="48">
        <f t="shared" si="34"/>
        <v>3</v>
      </c>
      <c r="CP25" s="37"/>
      <c r="CQ25" s="48">
        <f t="shared" si="35"/>
        <v>3</v>
      </c>
      <c r="CR25" s="37"/>
      <c r="CS25" s="37"/>
      <c r="CT25" s="37"/>
      <c r="CU25" s="37"/>
      <c r="CV25" s="37">
        <f t="shared" si="36"/>
        <v>5</v>
      </c>
      <c r="CW25" s="37">
        <v>6</v>
      </c>
      <c r="CX25" s="37">
        <v>6</v>
      </c>
      <c r="CY25" s="51">
        <f t="shared" si="37"/>
        <v>4</v>
      </c>
      <c r="CZ25" s="37"/>
      <c r="DA25" s="37">
        <v>27.8</v>
      </c>
      <c r="DB25" s="37">
        <f t="shared" si="38"/>
        <v>4</v>
      </c>
      <c r="DC25" s="39">
        <f t="shared" si="39"/>
        <v>1</v>
      </c>
      <c r="DD25" s="46">
        <v>128177690.41</v>
      </c>
      <c r="DE25" s="46">
        <v>128177690.41</v>
      </c>
      <c r="DF25" s="37">
        <f t="shared" si="40"/>
        <v>3</v>
      </c>
      <c r="DG25" s="39">
        <f t="shared" si="41"/>
        <v>0</v>
      </c>
      <c r="DH25" s="46">
        <v>0</v>
      </c>
      <c r="DI25" s="46">
        <v>125811286.53</v>
      </c>
      <c r="DJ25" s="37">
        <f t="shared" si="50"/>
        <v>3</v>
      </c>
      <c r="DK25" s="37"/>
      <c r="DL25" s="37"/>
      <c r="DM25" s="37">
        <f t="shared" si="42"/>
        <v>5</v>
      </c>
      <c r="DN25" s="52">
        <f t="shared" si="43"/>
        <v>1</v>
      </c>
      <c r="DO25" s="64">
        <v>10</v>
      </c>
      <c r="DP25" s="64">
        <v>10</v>
      </c>
      <c r="DQ25" s="37">
        <f t="shared" si="44"/>
        <v>4</v>
      </c>
      <c r="DR25" s="39">
        <f t="shared" si="45"/>
        <v>1</v>
      </c>
      <c r="DS25" s="64">
        <v>84</v>
      </c>
      <c r="DT25" s="64">
        <v>84</v>
      </c>
      <c r="DU25" s="54">
        <f t="shared" si="46"/>
        <v>65.960949269963479</v>
      </c>
      <c r="DV25" s="55">
        <f t="shared" si="47"/>
        <v>17</v>
      </c>
      <c r="DW25" s="4"/>
    </row>
    <row r="26" spans="1:127" ht="135">
      <c r="A26" s="35">
        <v>12</v>
      </c>
      <c r="B26" s="35">
        <v>5</v>
      </c>
      <c r="C26" s="56" t="s">
        <v>161</v>
      </c>
      <c r="D26" s="56" t="s">
        <v>175</v>
      </c>
      <c r="E26" s="37">
        <f t="shared" si="0"/>
        <v>0</v>
      </c>
      <c r="F26" s="38">
        <f t="shared" si="1"/>
        <v>1.2064268264705884</v>
      </c>
      <c r="G26" s="57">
        <v>12305553.630000001</v>
      </c>
      <c r="H26" s="57">
        <v>10200000</v>
      </c>
      <c r="I26" s="37">
        <f t="shared" si="2"/>
        <v>0</v>
      </c>
      <c r="J26" s="39">
        <f t="shared" si="3"/>
        <v>0.80070429378065378</v>
      </c>
      <c r="K26" s="46">
        <v>9965569.7400000002</v>
      </c>
      <c r="L26" s="46">
        <v>12446005.119999999</v>
      </c>
      <c r="M26" s="37">
        <f t="shared" si="51"/>
        <v>3</v>
      </c>
      <c r="N26" s="39">
        <f t="shared" si="4"/>
        <v>0.974888937254902</v>
      </c>
      <c r="O26" s="45">
        <v>9943867.1600000001</v>
      </c>
      <c r="P26" s="46">
        <v>10200000</v>
      </c>
      <c r="Q26" s="37">
        <f t="shared" si="5"/>
        <v>0.76056440670980663</v>
      </c>
      <c r="R26" s="39">
        <f t="shared" si="6"/>
        <v>0.80070429378065378</v>
      </c>
      <c r="S26" s="40">
        <f t="shared" si="7"/>
        <v>9965569.7400000002</v>
      </c>
      <c r="T26" s="41">
        <v>12446005.119999999</v>
      </c>
      <c r="U26" s="37">
        <f t="shared" si="8"/>
        <v>3</v>
      </c>
      <c r="V26" s="39">
        <f t="shared" si="9"/>
        <v>-8.4698376766772859E-2</v>
      </c>
      <c r="W26" s="40">
        <v>0</v>
      </c>
      <c r="X26" s="8">
        <v>0</v>
      </c>
      <c r="Y26" s="8">
        <v>4036813.57</v>
      </c>
      <c r="Z26" s="8">
        <v>4036813.57</v>
      </c>
      <c r="AA26" s="40">
        <v>0</v>
      </c>
      <c r="AB26" s="40">
        <v>95322100</v>
      </c>
      <c r="AC26" s="37">
        <f t="shared" si="10"/>
        <v>0</v>
      </c>
      <c r="AD26" s="38">
        <f t="shared" si="11"/>
        <v>1.5351015101199392E-2</v>
      </c>
      <c r="AE26" s="57">
        <v>125107.82</v>
      </c>
      <c r="AF26" s="57">
        <v>8149807.629999999</v>
      </c>
      <c r="AG26" s="37">
        <f t="shared" si="12"/>
        <v>0</v>
      </c>
      <c r="AH26" s="42">
        <f t="shared" si="13"/>
        <v>15</v>
      </c>
      <c r="AI26" s="42">
        <v>26</v>
      </c>
      <c r="AJ26" s="42">
        <v>15</v>
      </c>
      <c r="AK26" s="37"/>
      <c r="AL26" s="42"/>
      <c r="AM26" s="37"/>
      <c r="AN26" s="37"/>
      <c r="AO26" s="37">
        <f t="shared" si="14"/>
        <v>2.9976192966598827</v>
      </c>
      <c r="AP26" s="39">
        <f t="shared" si="15"/>
        <v>7.9356778003916272E-4</v>
      </c>
      <c r="AQ26" s="57">
        <v>95107.82</v>
      </c>
      <c r="AR26" s="57">
        <v>119848389</v>
      </c>
      <c r="AS26" s="37">
        <f t="shared" si="16"/>
        <v>0</v>
      </c>
      <c r="AT26" s="39">
        <f t="shared" si="17"/>
        <v>9.4464216957088565E-2</v>
      </c>
      <c r="AU26" s="45">
        <f t="shared" si="18"/>
        <v>9943867.1600000001</v>
      </c>
      <c r="AV26" s="46">
        <f t="shared" si="19"/>
        <v>95322100</v>
      </c>
      <c r="AW26" s="37">
        <f t="shared" si="20"/>
        <v>0</v>
      </c>
      <c r="AX26" s="39">
        <f t="shared" si="52"/>
        <v>-7.1786158359920305E-2</v>
      </c>
      <c r="AY26" s="45">
        <f t="shared" si="53"/>
        <v>9943867.1600000001</v>
      </c>
      <c r="AZ26" s="46">
        <v>10712905.49</v>
      </c>
      <c r="BA26" s="37">
        <v>2</v>
      </c>
      <c r="BB26" s="46">
        <f t="shared" si="54"/>
        <v>9943867.1600000001</v>
      </c>
      <c r="BC26" s="46">
        <v>0</v>
      </c>
      <c r="BD26" s="37">
        <f t="shared" si="21"/>
        <v>1</v>
      </c>
      <c r="BE26" s="39">
        <f t="shared" si="22"/>
        <v>0</v>
      </c>
      <c r="BF26" s="37">
        <v>0</v>
      </c>
      <c r="BG26" s="46">
        <v>1608899.4</v>
      </c>
      <c r="BH26" s="37">
        <f t="shared" si="23"/>
        <v>1</v>
      </c>
      <c r="BI26" s="37">
        <v>0</v>
      </c>
      <c r="BJ26" s="46">
        <v>5391946.8200000003</v>
      </c>
      <c r="BK26" s="37">
        <f t="shared" si="24"/>
        <v>4</v>
      </c>
      <c r="BL26" s="38">
        <f t="shared" si="25"/>
        <v>0</v>
      </c>
      <c r="BM26" s="46">
        <v>0</v>
      </c>
      <c r="BN26" s="46">
        <v>44136.42</v>
      </c>
      <c r="BO26" s="46">
        <v>0</v>
      </c>
      <c r="BP26" s="46">
        <v>6254.38</v>
      </c>
      <c r="BQ26" s="37">
        <f t="shared" si="49"/>
        <v>0</v>
      </c>
      <c r="BR26" s="39">
        <f t="shared" si="26"/>
        <v>1.2300158925620703</v>
      </c>
      <c r="BS26" s="37">
        <v>28048200</v>
      </c>
      <c r="BT26" s="37">
        <v>30.6</v>
      </c>
      <c r="BU26" s="37">
        <v>12</v>
      </c>
      <c r="BV26" s="63">
        <v>62100</v>
      </c>
      <c r="BW26" s="37">
        <f t="shared" si="48"/>
        <v>2</v>
      </c>
      <c r="BX26" s="39">
        <f t="shared" si="27"/>
        <v>0.75755010998751371</v>
      </c>
      <c r="BY26" s="46">
        <f>61247.5*1000*1.302</f>
        <v>79744245</v>
      </c>
      <c r="BZ26" s="45">
        <v>105265967.16</v>
      </c>
      <c r="CA26" s="48">
        <f t="shared" si="28"/>
        <v>2</v>
      </c>
      <c r="CB26" s="49">
        <f t="shared" si="29"/>
        <v>2</v>
      </c>
      <c r="CC26" s="37">
        <v>3</v>
      </c>
      <c r="CD26" s="37">
        <v>3</v>
      </c>
      <c r="CE26" s="37">
        <v>3</v>
      </c>
      <c r="CF26" s="37">
        <f t="shared" si="30"/>
        <v>3</v>
      </c>
      <c r="CG26" s="39">
        <f t="shared" si="31"/>
        <v>1</v>
      </c>
      <c r="CH26" s="37">
        <v>2</v>
      </c>
      <c r="CI26" s="37">
        <v>2</v>
      </c>
      <c r="CJ26" s="48">
        <f t="shared" si="32"/>
        <v>5</v>
      </c>
      <c r="CK26" s="37">
        <v>0</v>
      </c>
      <c r="CL26" s="37">
        <f t="shared" si="33"/>
        <v>2</v>
      </c>
      <c r="CM26" s="50">
        <v>88</v>
      </c>
      <c r="CN26" s="50">
        <v>88</v>
      </c>
      <c r="CO26" s="48">
        <f t="shared" si="34"/>
        <v>3</v>
      </c>
      <c r="CP26" s="37"/>
      <c r="CQ26" s="48">
        <f t="shared" si="35"/>
        <v>3</v>
      </c>
      <c r="CR26" s="37"/>
      <c r="CS26" s="37"/>
      <c r="CT26" s="37"/>
      <c r="CU26" s="37"/>
      <c r="CV26" s="37">
        <f t="shared" si="36"/>
        <v>5</v>
      </c>
      <c r="CW26" s="37">
        <v>6</v>
      </c>
      <c r="CX26" s="37">
        <v>6</v>
      </c>
      <c r="CY26" s="51">
        <f t="shared" si="37"/>
        <v>4</v>
      </c>
      <c r="CZ26" s="37"/>
      <c r="DA26" s="37">
        <v>27.8</v>
      </c>
      <c r="DB26" s="37">
        <f t="shared" si="38"/>
        <v>4</v>
      </c>
      <c r="DC26" s="39">
        <f t="shared" si="39"/>
        <v>1</v>
      </c>
      <c r="DD26" s="46">
        <v>129718850.92</v>
      </c>
      <c r="DE26" s="46">
        <v>129718850.92</v>
      </c>
      <c r="DF26" s="37">
        <f t="shared" si="40"/>
        <v>3</v>
      </c>
      <c r="DG26" s="39">
        <f t="shared" si="41"/>
        <v>0</v>
      </c>
      <c r="DH26" s="46">
        <v>0</v>
      </c>
      <c r="DI26" s="46">
        <v>119753281.18000001</v>
      </c>
      <c r="DJ26" s="37">
        <f t="shared" si="50"/>
        <v>3</v>
      </c>
      <c r="DK26" s="37"/>
      <c r="DL26" s="37"/>
      <c r="DM26" s="37">
        <f t="shared" si="42"/>
        <v>5</v>
      </c>
      <c r="DN26" s="52">
        <f t="shared" si="43"/>
        <v>1</v>
      </c>
      <c r="DO26" s="64">
        <v>23</v>
      </c>
      <c r="DP26" s="64">
        <v>23</v>
      </c>
      <c r="DQ26" s="37">
        <f t="shared" si="44"/>
        <v>4</v>
      </c>
      <c r="DR26" s="39">
        <f t="shared" si="45"/>
        <v>1</v>
      </c>
      <c r="DS26" s="64">
        <v>70</v>
      </c>
      <c r="DT26" s="64">
        <v>70</v>
      </c>
      <c r="DU26" s="54">
        <f t="shared" si="46"/>
        <v>65.758183703369696</v>
      </c>
      <c r="DV26" s="55">
        <f t="shared" si="47"/>
        <v>18</v>
      </c>
      <c r="DW26" s="4"/>
    </row>
    <row r="27" spans="1:127" ht="120">
      <c r="A27" s="35">
        <v>56</v>
      </c>
      <c r="B27" s="35">
        <v>16</v>
      </c>
      <c r="C27" s="56" t="s">
        <v>164</v>
      </c>
      <c r="D27" s="56" t="s">
        <v>222</v>
      </c>
      <c r="E27" s="37">
        <f t="shared" si="0"/>
        <v>3</v>
      </c>
      <c r="F27" s="38">
        <f t="shared" si="1"/>
        <v>1</v>
      </c>
      <c r="G27" s="57">
        <v>166650678.59</v>
      </c>
      <c r="H27" s="57">
        <v>166650678.59</v>
      </c>
      <c r="I27" s="37">
        <f t="shared" si="2"/>
        <v>0</v>
      </c>
      <c r="J27" s="39">
        <f t="shared" si="3"/>
        <v>0.82305635599718152</v>
      </c>
      <c r="K27" s="46">
        <v>169638244.75999999</v>
      </c>
      <c r="L27" s="46">
        <v>206107690.59</v>
      </c>
      <c r="M27" s="37">
        <f t="shared" si="51"/>
        <v>3</v>
      </c>
      <c r="N27" s="39">
        <f t="shared" si="4"/>
        <v>1.1248247691316682</v>
      </c>
      <c r="O27" s="45">
        <v>165190190.84</v>
      </c>
      <c r="P27" s="46">
        <v>146858600</v>
      </c>
      <c r="Q27" s="37">
        <f t="shared" si="5"/>
        <v>3</v>
      </c>
      <c r="R27" s="39">
        <f t="shared" si="6"/>
        <v>1.1551127735113911</v>
      </c>
      <c r="S27" s="40">
        <f t="shared" si="7"/>
        <v>169638244.75999999</v>
      </c>
      <c r="T27" s="41">
        <v>146858600</v>
      </c>
      <c r="U27" s="37">
        <f t="shared" si="8"/>
        <v>3</v>
      </c>
      <c r="V27" s="39">
        <f t="shared" si="9"/>
        <v>-0.26765635561894202</v>
      </c>
      <c r="W27" s="65">
        <v>841624.27</v>
      </c>
      <c r="X27" s="8">
        <v>0</v>
      </c>
      <c r="Y27" s="8">
        <v>29811339.809999999</v>
      </c>
      <c r="Z27" s="8">
        <v>3722661.47</v>
      </c>
      <c r="AA27" s="40">
        <v>0</v>
      </c>
      <c r="AB27" s="40">
        <v>122143100</v>
      </c>
      <c r="AC27" s="37">
        <f t="shared" si="10"/>
        <v>0</v>
      </c>
      <c r="AD27" s="38">
        <f t="shared" si="11"/>
        <v>0.20650224354334393</v>
      </c>
      <c r="AE27" s="57">
        <v>1402799.2</v>
      </c>
      <c r="AF27" s="57">
        <v>6793142.6600000039</v>
      </c>
      <c r="AG27" s="37">
        <f t="shared" si="12"/>
        <v>0</v>
      </c>
      <c r="AH27" s="42">
        <f t="shared" si="13"/>
        <v>-4</v>
      </c>
      <c r="AI27" s="42">
        <v>9</v>
      </c>
      <c r="AJ27" s="42">
        <v>17</v>
      </c>
      <c r="AK27" s="37"/>
      <c r="AL27" s="42"/>
      <c r="AM27" s="63"/>
      <c r="AN27" s="37"/>
      <c r="AO27" s="37">
        <f t="shared" si="14"/>
        <v>2.9738618427082604</v>
      </c>
      <c r="AP27" s="39">
        <f t="shared" si="15"/>
        <v>8.7127190972465258E-3</v>
      </c>
      <c r="AQ27" s="57">
        <v>1402799.2</v>
      </c>
      <c r="AR27" s="57">
        <v>161005902.33000001</v>
      </c>
      <c r="AS27" s="37">
        <f t="shared" si="16"/>
        <v>1.6425941193545388</v>
      </c>
      <c r="AT27" s="39">
        <f t="shared" si="17"/>
        <v>0.57490794177408855</v>
      </c>
      <c r="AU27" s="45">
        <f t="shared" si="18"/>
        <v>165190190.84</v>
      </c>
      <c r="AV27" s="46">
        <f t="shared" si="19"/>
        <v>122143100</v>
      </c>
      <c r="AW27" s="37">
        <f t="shared" si="20"/>
        <v>2</v>
      </c>
      <c r="AX27" s="39">
        <f t="shared" si="52"/>
        <v>0.18111813874408034</v>
      </c>
      <c r="AY27" s="45">
        <f t="shared" si="53"/>
        <v>165190190.84</v>
      </c>
      <c r="AZ27" s="46">
        <v>139859160.08000001</v>
      </c>
      <c r="BA27" s="37">
        <v>2</v>
      </c>
      <c r="BB27" s="46">
        <f t="shared" si="54"/>
        <v>165190190.84</v>
      </c>
      <c r="BC27" s="46">
        <v>0</v>
      </c>
      <c r="BD27" s="37">
        <f t="shared" si="21"/>
        <v>1</v>
      </c>
      <c r="BE27" s="39">
        <f t="shared" si="22"/>
        <v>0</v>
      </c>
      <c r="BF27" s="37">
        <v>0</v>
      </c>
      <c r="BG27" s="46">
        <v>11543146.17</v>
      </c>
      <c r="BH27" s="37">
        <f t="shared" si="23"/>
        <v>1</v>
      </c>
      <c r="BI27" s="37">
        <v>0</v>
      </c>
      <c r="BJ27" s="46">
        <v>7759249.9400000004</v>
      </c>
      <c r="BK27" s="37">
        <f t="shared" si="24"/>
        <v>4</v>
      </c>
      <c r="BL27" s="38">
        <f t="shared" si="25"/>
        <v>0</v>
      </c>
      <c r="BM27" s="46">
        <v>0</v>
      </c>
      <c r="BN27" s="46">
        <v>139217.88</v>
      </c>
      <c r="BO27" s="46">
        <v>0</v>
      </c>
      <c r="BP27" s="46">
        <v>37152.11</v>
      </c>
      <c r="BQ27" s="37">
        <f t="shared" si="49"/>
        <v>0</v>
      </c>
      <c r="BR27" s="39">
        <f t="shared" si="26"/>
        <v>1.2859540230655162</v>
      </c>
      <c r="BS27" s="37">
        <v>11516181.220000001</v>
      </c>
      <c r="BT27" s="63">
        <v>12</v>
      </c>
      <c r="BU27" s="37">
        <v>12</v>
      </c>
      <c r="BV27" s="63">
        <v>62190</v>
      </c>
      <c r="BW27" s="37">
        <f t="shared" si="48"/>
        <v>0</v>
      </c>
      <c r="BX27" s="39">
        <f t="shared" si="27"/>
        <v>0.34303556445495798</v>
      </c>
      <c r="BY27" s="46">
        <v>98565537.609999999</v>
      </c>
      <c r="BZ27" s="45">
        <v>287333290.83999997</v>
      </c>
      <c r="CA27" s="48">
        <f t="shared" si="28"/>
        <v>2</v>
      </c>
      <c r="CB27" s="49">
        <f t="shared" si="29"/>
        <v>1.5714285714285714</v>
      </c>
      <c r="CC27" s="37">
        <v>7</v>
      </c>
      <c r="CD27" s="37">
        <v>4</v>
      </c>
      <c r="CE27" s="37">
        <v>7</v>
      </c>
      <c r="CF27" s="37">
        <f t="shared" si="30"/>
        <v>3</v>
      </c>
      <c r="CG27" s="39">
        <f t="shared" si="31"/>
        <v>1</v>
      </c>
      <c r="CH27" s="37">
        <v>2</v>
      </c>
      <c r="CI27" s="37">
        <v>2</v>
      </c>
      <c r="CJ27" s="48">
        <f t="shared" si="32"/>
        <v>0</v>
      </c>
      <c r="CK27" s="63">
        <v>1</v>
      </c>
      <c r="CL27" s="37">
        <f t="shared" si="33"/>
        <v>0</v>
      </c>
      <c r="CM27" s="50">
        <v>80</v>
      </c>
      <c r="CN27" s="50">
        <v>88</v>
      </c>
      <c r="CO27" s="48">
        <f t="shared" si="34"/>
        <v>3</v>
      </c>
      <c r="CP27" s="37"/>
      <c r="CQ27" s="48">
        <f t="shared" si="35"/>
        <v>3</v>
      </c>
      <c r="CR27" s="63"/>
      <c r="CS27" s="37"/>
      <c r="CT27" s="37"/>
      <c r="CU27" s="37"/>
      <c r="CV27" s="37">
        <f t="shared" si="36"/>
        <v>5</v>
      </c>
      <c r="CW27" s="37">
        <v>6</v>
      </c>
      <c r="CX27" s="37">
        <v>6</v>
      </c>
      <c r="CY27" s="51">
        <f t="shared" si="37"/>
        <v>4</v>
      </c>
      <c r="CZ27" s="37"/>
      <c r="DA27" s="37">
        <v>260.5</v>
      </c>
      <c r="DB27" s="37">
        <f t="shared" si="38"/>
        <v>4</v>
      </c>
      <c r="DC27" s="39">
        <f t="shared" si="39"/>
        <v>1</v>
      </c>
      <c r="DD27" s="46">
        <v>330044428.25</v>
      </c>
      <c r="DE27" s="46">
        <v>330044428.25</v>
      </c>
      <c r="DF27" s="37">
        <f t="shared" si="40"/>
        <v>3</v>
      </c>
      <c r="DG27" s="39">
        <f t="shared" si="41"/>
        <v>0</v>
      </c>
      <c r="DH27" s="46">
        <v>0</v>
      </c>
      <c r="DI27" s="46">
        <v>160575915.37</v>
      </c>
      <c r="DJ27" s="37">
        <f t="shared" si="50"/>
        <v>3</v>
      </c>
      <c r="DK27" s="37"/>
      <c r="DL27" s="37"/>
      <c r="DM27" s="37">
        <f t="shared" si="42"/>
        <v>5</v>
      </c>
      <c r="DN27" s="52">
        <f t="shared" si="43"/>
        <v>1</v>
      </c>
      <c r="DO27" s="64">
        <v>18</v>
      </c>
      <c r="DP27" s="64">
        <v>18</v>
      </c>
      <c r="DQ27" s="37">
        <f t="shared" si="44"/>
        <v>4</v>
      </c>
      <c r="DR27" s="39">
        <f t="shared" si="45"/>
        <v>1</v>
      </c>
      <c r="DS27" s="64">
        <v>43</v>
      </c>
      <c r="DT27" s="64">
        <v>43</v>
      </c>
      <c r="DU27" s="54">
        <f t="shared" si="46"/>
        <v>65.616455962062801</v>
      </c>
      <c r="DV27" s="55">
        <f t="shared" si="47"/>
        <v>19</v>
      </c>
      <c r="DW27" s="4"/>
    </row>
    <row r="28" spans="1:127" ht="135">
      <c r="A28" s="35">
        <v>17</v>
      </c>
      <c r="B28" s="35">
        <v>12</v>
      </c>
      <c r="C28" s="56" t="s">
        <v>161</v>
      </c>
      <c r="D28" s="56" t="s">
        <v>180</v>
      </c>
      <c r="E28" s="37">
        <f t="shared" si="0"/>
        <v>3</v>
      </c>
      <c r="F28" s="38">
        <f t="shared" si="1"/>
        <v>0.99868172355327378</v>
      </c>
      <c r="G28" s="57">
        <v>29416993.84</v>
      </c>
      <c r="H28" s="57">
        <v>29455824.760000002</v>
      </c>
      <c r="I28" s="37">
        <f t="shared" si="2"/>
        <v>3</v>
      </c>
      <c r="J28" s="39">
        <f t="shared" si="3"/>
        <v>1.0100942572413794</v>
      </c>
      <c r="K28" s="46">
        <v>29292733.460000001</v>
      </c>
      <c r="L28" s="46">
        <v>29000000</v>
      </c>
      <c r="M28" s="37">
        <f t="shared" si="51"/>
        <v>3</v>
      </c>
      <c r="N28" s="39">
        <f t="shared" si="4"/>
        <v>0.98714744429530199</v>
      </c>
      <c r="O28" s="45">
        <v>29416993.84</v>
      </c>
      <c r="P28" s="46">
        <v>29800000</v>
      </c>
      <c r="Q28" s="37">
        <f t="shared" si="5"/>
        <v>3</v>
      </c>
      <c r="R28" s="39">
        <f t="shared" si="6"/>
        <v>1.0100942572413794</v>
      </c>
      <c r="S28" s="40">
        <f t="shared" si="7"/>
        <v>29292733.460000001</v>
      </c>
      <c r="T28" s="41">
        <v>29000000</v>
      </c>
      <c r="U28" s="37">
        <f t="shared" si="8"/>
        <v>3</v>
      </c>
      <c r="V28" s="39">
        <f t="shared" si="9"/>
        <v>-0.19174734569856522</v>
      </c>
      <c r="W28" s="65" t="s">
        <v>166</v>
      </c>
      <c r="X28" s="8">
        <v>0</v>
      </c>
      <c r="Y28" s="8">
        <v>10623828.800000001</v>
      </c>
      <c r="Z28" s="8">
        <v>10623828.800000001</v>
      </c>
      <c r="AA28" s="40">
        <v>0</v>
      </c>
      <c r="AB28" s="40">
        <v>110810700</v>
      </c>
      <c r="AC28" s="37">
        <f t="shared" si="10"/>
        <v>0</v>
      </c>
      <c r="AD28" s="38">
        <f t="shared" si="11"/>
        <v>6.2684031217597733E-2</v>
      </c>
      <c r="AE28" s="57">
        <v>1645945</v>
      </c>
      <c r="AF28" s="57">
        <v>26257803.910000004</v>
      </c>
      <c r="AG28" s="37">
        <f t="shared" si="12"/>
        <v>0</v>
      </c>
      <c r="AH28" s="42">
        <f t="shared" si="13"/>
        <v>9</v>
      </c>
      <c r="AI28" s="42">
        <v>28</v>
      </c>
      <c r="AJ28" s="42">
        <v>23</v>
      </c>
      <c r="AK28" s="37"/>
      <c r="AL28" s="42"/>
      <c r="AM28" s="37"/>
      <c r="AN28" s="37"/>
      <c r="AO28" s="37">
        <f t="shared" si="14"/>
        <v>2.972535899336985</v>
      </c>
      <c r="AP28" s="39">
        <f t="shared" si="15"/>
        <v>9.1547002210051187E-3</v>
      </c>
      <c r="AQ28" s="57">
        <v>1645945</v>
      </c>
      <c r="AR28" s="57">
        <v>179792342.75999999</v>
      </c>
      <c r="AS28" s="37">
        <f t="shared" si="16"/>
        <v>0</v>
      </c>
      <c r="AT28" s="39">
        <f t="shared" si="17"/>
        <v>0.20978020128866151</v>
      </c>
      <c r="AU28" s="45">
        <f t="shared" si="18"/>
        <v>29416993.84</v>
      </c>
      <c r="AV28" s="46">
        <f t="shared" si="19"/>
        <v>110810700</v>
      </c>
      <c r="AW28" s="37">
        <f t="shared" si="20"/>
        <v>0.49449804829196609</v>
      </c>
      <c r="AX28" s="39">
        <f t="shared" si="52"/>
        <v>6.1812256036495761E-2</v>
      </c>
      <c r="AY28" s="45">
        <f t="shared" si="53"/>
        <v>29416993.84</v>
      </c>
      <c r="AZ28" s="46">
        <v>27704515.25</v>
      </c>
      <c r="BA28" s="37">
        <v>2</v>
      </c>
      <c r="BB28" s="46">
        <f t="shared" si="54"/>
        <v>29416993.84</v>
      </c>
      <c r="BC28" s="46">
        <v>0</v>
      </c>
      <c r="BD28" s="37">
        <f t="shared" si="21"/>
        <v>1</v>
      </c>
      <c r="BE28" s="39">
        <f t="shared" si="22"/>
        <v>0</v>
      </c>
      <c r="BF28" s="37">
        <v>0</v>
      </c>
      <c r="BG28" s="46">
        <v>3041673.3</v>
      </c>
      <c r="BH28" s="37">
        <f t="shared" si="23"/>
        <v>1</v>
      </c>
      <c r="BI28" s="37">
        <v>0</v>
      </c>
      <c r="BJ28" s="46">
        <v>729161.74</v>
      </c>
      <c r="BK28" s="37">
        <f t="shared" si="24"/>
        <v>4</v>
      </c>
      <c r="BL28" s="38">
        <f t="shared" si="25"/>
        <v>0</v>
      </c>
      <c r="BM28" s="46">
        <v>0</v>
      </c>
      <c r="BN28" s="46">
        <v>148019.57999999999</v>
      </c>
      <c r="BO28" s="46">
        <v>80</v>
      </c>
      <c r="BP28" s="46">
        <v>12826.19</v>
      </c>
      <c r="BQ28" s="37">
        <f t="shared" si="49"/>
        <v>0</v>
      </c>
      <c r="BR28" s="39">
        <f t="shared" si="26"/>
        <v>1.1410741926624974</v>
      </c>
      <c r="BS28" s="37">
        <v>29251300</v>
      </c>
      <c r="BT28" s="37">
        <v>34.4</v>
      </c>
      <c r="BU28" s="37">
        <v>12</v>
      </c>
      <c r="BV28" s="63">
        <v>62100</v>
      </c>
      <c r="BW28" s="37">
        <f t="shared" si="48"/>
        <v>0</v>
      </c>
      <c r="BX28" s="39">
        <f t="shared" si="27"/>
        <v>0.68912893133834618</v>
      </c>
      <c r="BY28" s="46">
        <f>74220.4*1000*1.302</f>
        <v>96634960.799999997</v>
      </c>
      <c r="BZ28" s="45">
        <v>140227693.84</v>
      </c>
      <c r="CA28" s="48">
        <f t="shared" si="28"/>
        <v>2</v>
      </c>
      <c r="CB28" s="49">
        <f t="shared" si="29"/>
        <v>2</v>
      </c>
      <c r="CC28" s="37">
        <v>5</v>
      </c>
      <c r="CD28" s="37">
        <v>5</v>
      </c>
      <c r="CE28" s="37">
        <v>5</v>
      </c>
      <c r="CF28" s="37">
        <f t="shared" si="30"/>
        <v>3</v>
      </c>
      <c r="CG28" s="39">
        <f t="shared" si="31"/>
        <v>1</v>
      </c>
      <c r="CH28" s="37">
        <v>3</v>
      </c>
      <c r="CI28" s="37">
        <v>3</v>
      </c>
      <c r="CJ28" s="48">
        <f t="shared" si="32"/>
        <v>0</v>
      </c>
      <c r="CK28" s="37">
        <v>1</v>
      </c>
      <c r="CL28" s="37">
        <f t="shared" si="33"/>
        <v>0</v>
      </c>
      <c r="CM28" s="50">
        <v>78</v>
      </c>
      <c r="CN28" s="50">
        <v>88</v>
      </c>
      <c r="CO28" s="48">
        <f t="shared" si="34"/>
        <v>3</v>
      </c>
      <c r="CP28" s="37"/>
      <c r="CQ28" s="48">
        <f t="shared" si="35"/>
        <v>3</v>
      </c>
      <c r="CR28" s="37"/>
      <c r="CS28" s="37"/>
      <c r="CT28" s="37"/>
      <c r="CU28" s="37"/>
      <c r="CV28" s="37">
        <f t="shared" si="36"/>
        <v>5</v>
      </c>
      <c r="CW28" s="37">
        <v>6</v>
      </c>
      <c r="CX28" s="37">
        <v>6</v>
      </c>
      <c r="CY28" s="51">
        <f t="shared" si="37"/>
        <v>4</v>
      </c>
      <c r="CZ28" s="37"/>
      <c r="DA28" s="37">
        <v>18</v>
      </c>
      <c r="DB28" s="37">
        <f t="shared" si="38"/>
        <v>4</v>
      </c>
      <c r="DC28" s="39">
        <f t="shared" si="39"/>
        <v>1</v>
      </c>
      <c r="DD28" s="46">
        <v>207442592.22</v>
      </c>
      <c r="DE28" s="46">
        <v>207442592.22</v>
      </c>
      <c r="DF28" s="37">
        <f t="shared" si="40"/>
        <v>3</v>
      </c>
      <c r="DG28" s="39">
        <f t="shared" si="41"/>
        <v>0</v>
      </c>
      <c r="DH28" s="46">
        <v>0</v>
      </c>
      <c r="DI28" s="46">
        <v>178149858.75999999</v>
      </c>
      <c r="DJ28" s="37">
        <f t="shared" si="50"/>
        <v>3</v>
      </c>
      <c r="DK28" s="37"/>
      <c r="DL28" s="37"/>
      <c r="DM28" s="37">
        <f t="shared" si="42"/>
        <v>5</v>
      </c>
      <c r="DN28" s="52">
        <f t="shared" si="43"/>
        <v>1</v>
      </c>
      <c r="DO28" s="64">
        <v>16</v>
      </c>
      <c r="DP28" s="64">
        <v>16</v>
      </c>
      <c r="DQ28" s="37">
        <f t="shared" si="44"/>
        <v>4</v>
      </c>
      <c r="DR28" s="39">
        <f t="shared" si="45"/>
        <v>1</v>
      </c>
      <c r="DS28" s="64">
        <v>89</v>
      </c>
      <c r="DT28" s="64">
        <v>89</v>
      </c>
      <c r="DU28" s="54">
        <f t="shared" si="46"/>
        <v>65.467033947628948</v>
      </c>
      <c r="DV28" s="55">
        <f t="shared" si="47"/>
        <v>20</v>
      </c>
      <c r="DW28" s="4"/>
    </row>
    <row r="29" spans="1:127" ht="135">
      <c r="A29" s="35">
        <v>19</v>
      </c>
      <c r="B29" s="35">
        <v>1</v>
      </c>
      <c r="C29" s="56" t="s">
        <v>161</v>
      </c>
      <c r="D29" s="56" t="s">
        <v>182</v>
      </c>
      <c r="E29" s="37">
        <f t="shared" si="0"/>
        <v>0</v>
      </c>
      <c r="F29" s="38">
        <f t="shared" si="1"/>
        <v>1.0164404103268612</v>
      </c>
      <c r="G29" s="57">
        <v>2996683.36</v>
      </c>
      <c r="H29" s="57">
        <v>2948213.52</v>
      </c>
      <c r="I29" s="37">
        <f t="shared" si="2"/>
        <v>2.4857027664122482</v>
      </c>
      <c r="J29" s="39">
        <f t="shared" si="3"/>
        <v>0.96628540710432664</v>
      </c>
      <c r="K29" s="46">
        <v>3245251.19</v>
      </c>
      <c r="L29" s="46">
        <v>3358481.01</v>
      </c>
      <c r="M29" s="37">
        <f t="shared" si="51"/>
        <v>3</v>
      </c>
      <c r="N29" s="39">
        <f t="shared" si="4"/>
        <v>1.3269544</v>
      </c>
      <c r="O29" s="45">
        <v>3317386</v>
      </c>
      <c r="P29" s="46">
        <v>2500000</v>
      </c>
      <c r="Q29" s="37">
        <f t="shared" si="5"/>
        <v>3</v>
      </c>
      <c r="R29" s="39">
        <f t="shared" si="6"/>
        <v>0.96628540710432664</v>
      </c>
      <c r="S29" s="40">
        <f t="shared" si="7"/>
        <v>3245251.19</v>
      </c>
      <c r="T29" s="41">
        <v>3358481.01</v>
      </c>
      <c r="U29" s="37">
        <f t="shared" si="8"/>
        <v>3</v>
      </c>
      <c r="V29" s="39">
        <f t="shared" si="9"/>
        <v>-0.12764741587520348</v>
      </c>
      <c r="W29" s="65">
        <v>46058.8</v>
      </c>
      <c r="X29" s="8">
        <v>0</v>
      </c>
      <c r="Y29" s="8">
        <v>3757474.54</v>
      </c>
      <c r="Z29" s="8">
        <v>3757474.54</v>
      </c>
      <c r="AA29" s="40">
        <v>0</v>
      </c>
      <c r="AB29" s="40">
        <v>58511880</v>
      </c>
      <c r="AC29" s="37">
        <f t="shared" si="10"/>
        <v>0</v>
      </c>
      <c r="AD29" s="38">
        <f t="shared" si="11"/>
        <v>0.35507443021675905</v>
      </c>
      <c r="AE29" s="57">
        <v>2276706</v>
      </c>
      <c r="AF29" s="57">
        <v>6411912</v>
      </c>
      <c r="AG29" s="37">
        <f t="shared" si="12"/>
        <v>0</v>
      </c>
      <c r="AH29" s="42">
        <f t="shared" si="13"/>
        <v>3</v>
      </c>
      <c r="AI29" s="42">
        <v>17</v>
      </c>
      <c r="AJ29" s="42">
        <v>18</v>
      </c>
      <c r="AK29" s="37"/>
      <c r="AL29" s="42"/>
      <c r="AM29" s="37"/>
      <c r="AN29" s="37"/>
      <c r="AO29" s="37">
        <f t="shared" si="14"/>
        <v>2.9251725185008084</v>
      </c>
      <c r="AP29" s="39">
        <f t="shared" si="15"/>
        <v>2.4942493833063822E-2</v>
      </c>
      <c r="AQ29" s="57">
        <v>2294626</v>
      </c>
      <c r="AR29" s="57">
        <v>91996655</v>
      </c>
      <c r="AS29" s="37">
        <f t="shared" si="16"/>
        <v>0</v>
      </c>
      <c r="AT29" s="39">
        <f t="shared" si="17"/>
        <v>5.3653976742987698E-2</v>
      </c>
      <c r="AU29" s="45">
        <f t="shared" si="18"/>
        <v>3317386</v>
      </c>
      <c r="AV29" s="46">
        <f t="shared" si="19"/>
        <v>58511880</v>
      </c>
      <c r="AW29" s="37">
        <f t="shared" si="20"/>
        <v>0</v>
      </c>
      <c r="AX29" s="39">
        <f t="shared" si="52"/>
        <v>-0.61108420052158863</v>
      </c>
      <c r="AY29" s="45">
        <f t="shared" si="53"/>
        <v>3317386</v>
      </c>
      <c r="AZ29" s="45">
        <v>8529830.8900000006</v>
      </c>
      <c r="BA29" s="37">
        <v>2</v>
      </c>
      <c r="BB29" s="46">
        <f t="shared" si="54"/>
        <v>3317386</v>
      </c>
      <c r="BC29" s="46">
        <v>0</v>
      </c>
      <c r="BD29" s="37">
        <f t="shared" si="21"/>
        <v>1</v>
      </c>
      <c r="BE29" s="39">
        <f t="shared" si="22"/>
        <v>0</v>
      </c>
      <c r="BF29" s="37">
        <v>0</v>
      </c>
      <c r="BG29" s="46">
        <v>1504008.66</v>
      </c>
      <c r="BH29" s="37">
        <f t="shared" si="23"/>
        <v>1</v>
      </c>
      <c r="BI29" s="37">
        <v>0</v>
      </c>
      <c r="BJ29" s="46">
        <v>7325029.1500000004</v>
      </c>
      <c r="BK29" s="37">
        <f t="shared" si="24"/>
        <v>4</v>
      </c>
      <c r="BL29" s="38">
        <f t="shared" si="25"/>
        <v>0</v>
      </c>
      <c r="BM29" s="46">
        <v>0</v>
      </c>
      <c r="BN29" s="46">
        <v>9474.7099999999991</v>
      </c>
      <c r="BO29" s="46">
        <v>0</v>
      </c>
      <c r="BP29" s="46">
        <v>2722.62</v>
      </c>
      <c r="BQ29" s="37">
        <f t="shared" si="49"/>
        <v>2</v>
      </c>
      <c r="BR29" s="39">
        <f t="shared" si="26"/>
        <v>1.0109607146112478</v>
      </c>
      <c r="BS29" s="37">
        <v>15971400</v>
      </c>
      <c r="BT29" s="37">
        <v>21.2</v>
      </c>
      <c r="BU29" s="37">
        <v>12</v>
      </c>
      <c r="BV29" s="63">
        <v>62100</v>
      </c>
      <c r="BW29" s="37">
        <f t="shared" si="48"/>
        <v>0</v>
      </c>
      <c r="BX29" s="39">
        <f t="shared" si="27"/>
        <v>0.81272486034831481</v>
      </c>
      <c r="BY29" s="46">
        <f>36540.3*1000*1.302</f>
        <v>47575470.600000001</v>
      </c>
      <c r="BZ29" s="45">
        <v>58538224.829999998</v>
      </c>
      <c r="CA29" s="48">
        <f t="shared" si="28"/>
        <v>2</v>
      </c>
      <c r="CB29" s="49">
        <f t="shared" si="29"/>
        <v>1</v>
      </c>
      <c r="CC29" s="37">
        <v>2</v>
      </c>
      <c r="CD29" s="37">
        <v>0</v>
      </c>
      <c r="CE29" s="37">
        <v>2</v>
      </c>
      <c r="CF29" s="37">
        <f t="shared" si="30"/>
        <v>3</v>
      </c>
      <c r="CG29" s="39">
        <f t="shared" si="31"/>
        <v>1</v>
      </c>
      <c r="CH29" s="37">
        <v>2</v>
      </c>
      <c r="CI29" s="37">
        <v>2</v>
      </c>
      <c r="CJ29" s="48">
        <f t="shared" si="32"/>
        <v>0</v>
      </c>
      <c r="CK29" s="37">
        <v>1</v>
      </c>
      <c r="CL29" s="37">
        <f t="shared" si="33"/>
        <v>2</v>
      </c>
      <c r="CM29" s="50">
        <v>88</v>
      </c>
      <c r="CN29" s="50">
        <v>88</v>
      </c>
      <c r="CO29" s="48">
        <f t="shared" si="34"/>
        <v>3</v>
      </c>
      <c r="CP29" s="37"/>
      <c r="CQ29" s="48">
        <f t="shared" si="35"/>
        <v>3</v>
      </c>
      <c r="CR29" s="37"/>
      <c r="CS29" s="37"/>
      <c r="CT29" s="37"/>
      <c r="CU29" s="37"/>
      <c r="CV29" s="37">
        <f t="shared" si="36"/>
        <v>4.166666666666667</v>
      </c>
      <c r="CW29" s="37">
        <v>5</v>
      </c>
      <c r="CX29" s="37">
        <v>6</v>
      </c>
      <c r="CY29" s="51">
        <f t="shared" si="37"/>
        <v>4</v>
      </c>
      <c r="CZ29" s="37"/>
      <c r="DA29" s="37">
        <v>21.2</v>
      </c>
      <c r="DB29" s="37">
        <f t="shared" si="38"/>
        <v>4</v>
      </c>
      <c r="DC29" s="39">
        <f t="shared" si="39"/>
        <v>1</v>
      </c>
      <c r="DD29" s="46">
        <v>89682315.030000001</v>
      </c>
      <c r="DE29" s="46">
        <v>89682315.030000001</v>
      </c>
      <c r="DF29" s="37">
        <f t="shared" si="40"/>
        <v>3</v>
      </c>
      <c r="DG29" s="39">
        <f t="shared" si="41"/>
        <v>0</v>
      </c>
      <c r="DH29" s="46">
        <v>0</v>
      </c>
      <c r="DI29" s="46">
        <v>89655970.200000003</v>
      </c>
      <c r="DJ29" s="37">
        <f t="shared" si="50"/>
        <v>3</v>
      </c>
      <c r="DK29" s="37"/>
      <c r="DL29" s="37"/>
      <c r="DM29" s="37">
        <f t="shared" si="42"/>
        <v>5</v>
      </c>
      <c r="DN29" s="52">
        <f t="shared" si="43"/>
        <v>1</v>
      </c>
      <c r="DO29" s="64">
        <v>12</v>
      </c>
      <c r="DP29" s="64">
        <v>12</v>
      </c>
      <c r="DQ29" s="37">
        <f t="shared" si="44"/>
        <v>4</v>
      </c>
      <c r="DR29" s="39">
        <f t="shared" si="45"/>
        <v>1</v>
      </c>
      <c r="DS29" s="64">
        <v>54</v>
      </c>
      <c r="DT29" s="64">
        <v>54</v>
      </c>
      <c r="DU29" s="54">
        <f t="shared" si="46"/>
        <v>64.577541951579718</v>
      </c>
      <c r="DV29" s="55">
        <f t="shared" si="47"/>
        <v>21</v>
      </c>
      <c r="DW29" s="4"/>
    </row>
    <row r="30" spans="1:127" ht="76.5">
      <c r="A30" s="35">
        <v>52</v>
      </c>
      <c r="B30" s="35">
        <v>33</v>
      </c>
      <c r="C30" s="72" t="s">
        <v>164</v>
      </c>
      <c r="D30" s="72" t="s">
        <v>218</v>
      </c>
      <c r="E30" s="37">
        <v>0</v>
      </c>
      <c r="F30" s="38">
        <f t="shared" si="1"/>
        <v>0</v>
      </c>
      <c r="G30" s="69">
        <v>0</v>
      </c>
      <c r="H30" s="69">
        <v>0</v>
      </c>
      <c r="I30" s="37">
        <v>0</v>
      </c>
      <c r="J30" s="39">
        <f t="shared" si="3"/>
        <v>0</v>
      </c>
      <c r="K30" s="70">
        <v>0</v>
      </c>
      <c r="L30" s="70">
        <v>0</v>
      </c>
      <c r="M30" s="37">
        <v>0</v>
      </c>
      <c r="N30" s="39">
        <v>0</v>
      </c>
      <c r="O30" s="45">
        <v>0</v>
      </c>
      <c r="P30" s="70">
        <v>0</v>
      </c>
      <c r="Q30" s="37">
        <v>0</v>
      </c>
      <c r="R30" s="39">
        <f t="shared" si="6"/>
        <v>0</v>
      </c>
      <c r="S30" s="40">
        <f t="shared" si="7"/>
        <v>0</v>
      </c>
      <c r="T30" s="41">
        <v>0</v>
      </c>
      <c r="U30" s="37">
        <f t="shared" si="8"/>
        <v>3</v>
      </c>
      <c r="V30" s="39">
        <f t="shared" si="9"/>
        <v>-0.25764063208841514</v>
      </c>
      <c r="W30" s="71">
        <v>0</v>
      </c>
      <c r="X30" s="8">
        <v>0</v>
      </c>
      <c r="Y30" s="8">
        <v>3736897.02</v>
      </c>
      <c r="Z30" s="8">
        <v>3736897.02</v>
      </c>
      <c r="AA30" s="71">
        <v>0</v>
      </c>
      <c r="AB30" s="71">
        <v>29008600</v>
      </c>
      <c r="AC30" s="37">
        <f t="shared" si="10"/>
        <v>3</v>
      </c>
      <c r="AD30" s="38">
        <f t="shared" si="11"/>
        <v>0</v>
      </c>
      <c r="AE30" s="69">
        <v>0</v>
      </c>
      <c r="AF30" s="69">
        <v>0</v>
      </c>
      <c r="AG30" s="37">
        <f t="shared" si="12"/>
        <v>1</v>
      </c>
      <c r="AH30" s="42">
        <f t="shared" si="13"/>
        <v>4</v>
      </c>
      <c r="AI30" s="48">
        <v>4</v>
      </c>
      <c r="AJ30" s="48">
        <v>4</v>
      </c>
      <c r="AK30" s="37"/>
      <c r="AL30" s="42"/>
      <c r="AM30" s="64"/>
      <c r="AN30" s="37"/>
      <c r="AO30" s="37">
        <f t="shared" si="14"/>
        <v>3</v>
      </c>
      <c r="AP30" s="39">
        <f t="shared" si="15"/>
        <v>0</v>
      </c>
      <c r="AQ30" s="69"/>
      <c r="AR30" s="69">
        <v>30708600</v>
      </c>
      <c r="AS30" s="37">
        <f t="shared" si="16"/>
        <v>0</v>
      </c>
      <c r="AT30" s="39">
        <f t="shared" si="17"/>
        <v>0</v>
      </c>
      <c r="AU30" s="45">
        <f t="shared" si="18"/>
        <v>0</v>
      </c>
      <c r="AV30" s="46">
        <f t="shared" si="19"/>
        <v>29008600</v>
      </c>
      <c r="AW30" s="37">
        <f t="shared" si="20"/>
        <v>0</v>
      </c>
      <c r="AX30" s="39"/>
      <c r="AY30" s="66">
        <v>0</v>
      </c>
      <c r="AZ30" s="64">
        <v>605220</v>
      </c>
      <c r="BA30" s="37">
        <v>2</v>
      </c>
      <c r="BB30" s="37"/>
      <c r="BC30" s="37">
        <v>0</v>
      </c>
      <c r="BD30" s="37">
        <f t="shared" si="21"/>
        <v>1</v>
      </c>
      <c r="BE30" s="39">
        <f t="shared" si="22"/>
        <v>0</v>
      </c>
      <c r="BF30" s="37">
        <v>0</v>
      </c>
      <c r="BG30" s="64">
        <v>0</v>
      </c>
      <c r="BH30" s="37">
        <f t="shared" si="23"/>
        <v>1</v>
      </c>
      <c r="BI30" s="37">
        <v>0</v>
      </c>
      <c r="BJ30" s="64">
        <v>6023.25</v>
      </c>
      <c r="BK30" s="37">
        <f t="shared" si="24"/>
        <v>4</v>
      </c>
      <c r="BL30" s="38">
        <f t="shared" si="25"/>
        <v>0</v>
      </c>
      <c r="BM30" s="37">
        <v>0</v>
      </c>
      <c r="BN30" s="64">
        <v>2233.81</v>
      </c>
      <c r="BO30" s="37">
        <v>0</v>
      </c>
      <c r="BP30" s="64">
        <v>933.76</v>
      </c>
      <c r="BQ30" s="37">
        <f t="shared" si="49"/>
        <v>0</v>
      </c>
      <c r="BR30" s="39">
        <f t="shared" si="26"/>
        <v>1.1122290066210396</v>
      </c>
      <c r="BS30" s="37">
        <v>6558609.0099999998</v>
      </c>
      <c r="BT30" s="64">
        <v>9.1</v>
      </c>
      <c r="BU30" s="64">
        <v>12</v>
      </c>
      <c r="BV30" s="73">
        <v>54000.14</v>
      </c>
      <c r="BW30" s="37">
        <f t="shared" si="48"/>
        <v>0</v>
      </c>
      <c r="BX30" s="39">
        <f t="shared" si="27"/>
        <v>0.69172590197389738</v>
      </c>
      <c r="BY30" s="64">
        <v>20066000</v>
      </c>
      <c r="BZ30" s="66">
        <v>29008600</v>
      </c>
      <c r="CA30" s="48">
        <f t="shared" si="28"/>
        <v>2</v>
      </c>
      <c r="CB30" s="49">
        <f t="shared" si="29"/>
        <v>2</v>
      </c>
      <c r="CC30" s="64">
        <v>3</v>
      </c>
      <c r="CD30" s="64">
        <v>3</v>
      </c>
      <c r="CE30" s="64">
        <v>3</v>
      </c>
      <c r="CF30" s="37">
        <f t="shared" si="30"/>
        <v>3</v>
      </c>
      <c r="CG30" s="39">
        <f t="shared" si="31"/>
        <v>1</v>
      </c>
      <c r="CH30" s="64">
        <v>2</v>
      </c>
      <c r="CI30" s="64">
        <v>2</v>
      </c>
      <c r="CJ30" s="48">
        <f t="shared" si="32"/>
        <v>5</v>
      </c>
      <c r="CK30" s="64">
        <v>0</v>
      </c>
      <c r="CL30" s="37">
        <f t="shared" si="33"/>
        <v>2</v>
      </c>
      <c r="CM30" s="50">
        <v>88</v>
      </c>
      <c r="CN30" s="50">
        <v>88</v>
      </c>
      <c r="CO30" s="48">
        <f t="shared" si="34"/>
        <v>3</v>
      </c>
      <c r="CP30" s="64"/>
      <c r="CQ30" s="48">
        <f t="shared" si="35"/>
        <v>3</v>
      </c>
      <c r="CR30" s="64"/>
      <c r="CS30" s="37"/>
      <c r="CT30" s="64"/>
      <c r="CU30" s="37"/>
      <c r="CV30" s="37">
        <f t="shared" si="36"/>
        <v>5</v>
      </c>
      <c r="CW30" s="64">
        <v>6</v>
      </c>
      <c r="CX30" s="37">
        <v>6</v>
      </c>
      <c r="CY30" s="51">
        <f t="shared" si="37"/>
        <v>4</v>
      </c>
      <c r="CZ30" s="37"/>
      <c r="DA30" s="37">
        <v>17.68</v>
      </c>
      <c r="DB30" s="37">
        <f t="shared" si="38"/>
        <v>4</v>
      </c>
      <c r="DC30" s="39">
        <f t="shared" si="39"/>
        <v>1</v>
      </c>
      <c r="DD30" s="64">
        <v>30708600</v>
      </c>
      <c r="DE30" s="64">
        <v>30708600</v>
      </c>
      <c r="DF30" s="37">
        <f t="shared" si="40"/>
        <v>3</v>
      </c>
      <c r="DG30" s="39">
        <f t="shared" si="41"/>
        <v>0</v>
      </c>
      <c r="DH30" s="46">
        <v>0</v>
      </c>
      <c r="DI30" s="70">
        <v>30708600</v>
      </c>
      <c r="DJ30" s="37">
        <f t="shared" si="50"/>
        <v>3</v>
      </c>
      <c r="DK30" s="64"/>
      <c r="DL30" s="64"/>
      <c r="DM30" s="37">
        <f t="shared" si="42"/>
        <v>5</v>
      </c>
      <c r="DN30" s="52">
        <f t="shared" si="43"/>
        <v>1</v>
      </c>
      <c r="DO30" s="64">
        <v>60</v>
      </c>
      <c r="DP30" s="64">
        <v>60</v>
      </c>
      <c r="DQ30" s="37">
        <f t="shared" si="44"/>
        <v>4</v>
      </c>
      <c r="DR30" s="39">
        <f t="shared" si="45"/>
        <v>1</v>
      </c>
      <c r="DS30" s="64">
        <v>14</v>
      </c>
      <c r="DT30" s="64">
        <v>14</v>
      </c>
      <c r="DU30" s="54">
        <f t="shared" si="46"/>
        <v>64</v>
      </c>
      <c r="DV30" s="55">
        <f t="shared" si="47"/>
        <v>22</v>
      </c>
      <c r="DW30" s="4"/>
    </row>
    <row r="31" spans="1:127" ht="135">
      <c r="A31" s="35">
        <v>5</v>
      </c>
      <c r="B31" s="35">
        <v>4</v>
      </c>
      <c r="C31" s="56" t="s">
        <v>161</v>
      </c>
      <c r="D31" s="56" t="s">
        <v>168</v>
      </c>
      <c r="E31" s="37">
        <f t="shared" ref="E31:E46" si="55">IF(F31&gt;1,0,IF(G31/H31&lt;$H$7/100,0,IF(G31/H31&gt;$G$7/100,3,$E$7*(G31/H31-$H$7/100)/(($G$7-$H$7)/100))))</f>
        <v>0</v>
      </c>
      <c r="F31" s="38">
        <f t="shared" si="1"/>
        <v>1.3242843913111424</v>
      </c>
      <c r="G31" s="57">
        <v>8474095.8200000003</v>
      </c>
      <c r="H31" s="57">
        <v>6399000</v>
      </c>
      <c r="I31" s="37">
        <f t="shared" ref="I31:I45" si="56">IF(K31/L31&lt;$L$7/100,0,IF(K31/L31&gt;$K$7/100,3,$I$7*(K31/L31-$L$7/100)/(($K$7-$L$7)/100)))</f>
        <v>0</v>
      </c>
      <c r="J31" s="39">
        <f t="shared" si="3"/>
        <v>0.79043896674855074</v>
      </c>
      <c r="K31" s="46">
        <v>7487363.3799999999</v>
      </c>
      <c r="L31" s="46">
        <v>9472411.7799999993</v>
      </c>
      <c r="M31" s="37">
        <f>IF(O31/P31&lt;$P$7/100,0,IF(O31/P31&gt;$O$7/100,3,$M$7*(O31/P31-$P$7/100)/(($O$7-$P$7)/100)))</f>
        <v>3</v>
      </c>
      <c r="N31" s="39">
        <f t="shared" ref="N31:N68" si="57">IF(P31=0,0,O31/P31)</f>
        <v>1.7313768744115985</v>
      </c>
      <c r="O31" s="45">
        <v>9195342.5800000001</v>
      </c>
      <c r="P31" s="46">
        <v>5311000</v>
      </c>
      <c r="Q31" s="37">
        <f t="shared" ref="Q31:Q45" si="58">IF(S31/T31&lt;$T$7/100,0,IF(S31/T31&gt;$S$7/100,3,$Q$7*(S31/T31-$T$7/100)/(($S$7-$T$7)/100)))</f>
        <v>3</v>
      </c>
      <c r="R31" s="39">
        <f t="shared" si="6"/>
        <v>1.1884703777777779</v>
      </c>
      <c r="S31" s="40">
        <f t="shared" si="7"/>
        <v>7487363.3799999999</v>
      </c>
      <c r="T31" s="41">
        <v>6300000</v>
      </c>
      <c r="U31" s="37">
        <f t="shared" si="8"/>
        <v>3</v>
      </c>
      <c r="V31" s="39">
        <f t="shared" si="9"/>
        <v>-0.14697169338919247</v>
      </c>
      <c r="W31" s="65" t="s">
        <v>166</v>
      </c>
      <c r="X31" s="8">
        <v>0</v>
      </c>
      <c r="Y31" s="8">
        <v>5327128.6500000004</v>
      </c>
      <c r="Z31" s="8">
        <v>5327128.6500000004</v>
      </c>
      <c r="AA31" s="40">
        <v>0</v>
      </c>
      <c r="AB31" s="40">
        <v>72491900</v>
      </c>
      <c r="AC31" s="37">
        <f t="shared" si="10"/>
        <v>0</v>
      </c>
      <c r="AD31" s="38">
        <f t="shared" si="11"/>
        <v>0.11213408288845819</v>
      </c>
      <c r="AE31" s="57">
        <v>978337.49</v>
      </c>
      <c r="AF31" s="57">
        <v>8724711.2099999972</v>
      </c>
      <c r="AG31" s="37">
        <f t="shared" si="12"/>
        <v>0</v>
      </c>
      <c r="AH31" s="42">
        <f t="shared" si="13"/>
        <v>10</v>
      </c>
      <c r="AI31" s="42">
        <v>24</v>
      </c>
      <c r="AJ31" s="42">
        <v>18</v>
      </c>
      <c r="AK31" s="37"/>
      <c r="AL31" s="42"/>
      <c r="AM31" s="37"/>
      <c r="AN31" s="37"/>
      <c r="AO31" s="37">
        <f t="shared" si="14"/>
        <v>2.9717833870240078</v>
      </c>
      <c r="AP31" s="39">
        <f t="shared" si="15"/>
        <v>9.4055376586639778E-3</v>
      </c>
      <c r="AQ31" s="57">
        <v>978337.49</v>
      </c>
      <c r="AR31" s="57">
        <v>104017178.55</v>
      </c>
      <c r="AS31" s="37">
        <f t="shared" si="16"/>
        <v>0</v>
      </c>
      <c r="AT31" s="39">
        <f t="shared" si="17"/>
        <v>0.11256767017193152</v>
      </c>
      <c r="AU31" s="45">
        <f t="shared" si="18"/>
        <v>9195342.5800000001</v>
      </c>
      <c r="AV31" s="46">
        <f t="shared" si="19"/>
        <v>72491900</v>
      </c>
      <c r="AW31" s="37">
        <f t="shared" si="20"/>
        <v>2</v>
      </c>
      <c r="AX31" s="39">
        <f t="shared" ref="AX31:AX45" si="59">AY31/AZ31-1</f>
        <v>0.28626131297941604</v>
      </c>
      <c r="AY31" s="45">
        <f>AU31</f>
        <v>9195342.5800000001</v>
      </c>
      <c r="AZ31" s="46">
        <v>7148891.5099999998</v>
      </c>
      <c r="BA31" s="37">
        <v>2</v>
      </c>
      <c r="BB31" s="46">
        <f>AY31</f>
        <v>9195342.5800000001</v>
      </c>
      <c r="BC31" s="46">
        <v>0</v>
      </c>
      <c r="BD31" s="37">
        <f t="shared" si="21"/>
        <v>1</v>
      </c>
      <c r="BE31" s="39">
        <f t="shared" si="22"/>
        <v>0</v>
      </c>
      <c r="BF31" s="37">
        <v>0</v>
      </c>
      <c r="BG31" s="46">
        <v>3512580.74</v>
      </c>
      <c r="BH31" s="37">
        <f t="shared" si="23"/>
        <v>1</v>
      </c>
      <c r="BI31" s="37">
        <v>0</v>
      </c>
      <c r="BJ31" s="46">
        <v>2804552.23</v>
      </c>
      <c r="BK31" s="37">
        <f t="shared" si="24"/>
        <v>4</v>
      </c>
      <c r="BL31" s="38">
        <f t="shared" si="25"/>
        <v>0</v>
      </c>
      <c r="BM31" s="46">
        <v>0</v>
      </c>
      <c r="BN31" s="46">
        <v>52911.519999999997</v>
      </c>
      <c r="BO31" s="46">
        <v>0</v>
      </c>
      <c r="BP31" s="46">
        <v>268.44</v>
      </c>
      <c r="BQ31" s="37">
        <f t="shared" si="49"/>
        <v>0</v>
      </c>
      <c r="BR31" s="39">
        <f t="shared" si="26"/>
        <v>1.0693895476504172</v>
      </c>
      <c r="BS31" s="37">
        <v>21915000</v>
      </c>
      <c r="BT31" s="37">
        <v>27.5</v>
      </c>
      <c r="BU31" s="37">
        <v>12</v>
      </c>
      <c r="BV31" s="63">
        <v>62100</v>
      </c>
      <c r="BW31" s="37">
        <f t="shared" si="48"/>
        <v>2</v>
      </c>
      <c r="BX31" s="39">
        <f t="shared" si="27"/>
        <v>0.72373018763733621</v>
      </c>
      <c r="BY31" s="46">
        <f>45406.7*1000*1.302</f>
        <v>59119523.399999999</v>
      </c>
      <c r="BZ31" s="45">
        <v>81687242.579999998</v>
      </c>
      <c r="CA31" s="48">
        <f t="shared" si="28"/>
        <v>2</v>
      </c>
      <c r="CB31" s="49">
        <f t="shared" si="29"/>
        <v>1.3333333333333333</v>
      </c>
      <c r="CC31" s="37">
        <v>2</v>
      </c>
      <c r="CD31" s="37">
        <v>2</v>
      </c>
      <c r="CE31" s="37">
        <v>3</v>
      </c>
      <c r="CF31" s="37">
        <f t="shared" si="30"/>
        <v>3</v>
      </c>
      <c r="CG31" s="39">
        <f t="shared" si="31"/>
        <v>1</v>
      </c>
      <c r="CH31" s="37">
        <v>3</v>
      </c>
      <c r="CI31" s="37">
        <v>3</v>
      </c>
      <c r="CJ31" s="48">
        <f t="shared" si="32"/>
        <v>0</v>
      </c>
      <c r="CK31" s="37">
        <v>1</v>
      </c>
      <c r="CL31" s="37">
        <f t="shared" si="33"/>
        <v>0</v>
      </c>
      <c r="CM31" s="50">
        <v>82</v>
      </c>
      <c r="CN31" s="50">
        <v>88</v>
      </c>
      <c r="CO31" s="48">
        <f t="shared" si="34"/>
        <v>3</v>
      </c>
      <c r="CP31" s="37"/>
      <c r="CQ31" s="48">
        <f t="shared" si="35"/>
        <v>3</v>
      </c>
      <c r="CR31" s="37"/>
      <c r="CS31" s="37"/>
      <c r="CT31" s="37"/>
      <c r="CU31" s="37"/>
      <c r="CV31" s="37">
        <f t="shared" si="36"/>
        <v>5</v>
      </c>
      <c r="CW31" s="37">
        <v>6</v>
      </c>
      <c r="CX31" s="37">
        <v>6</v>
      </c>
      <c r="CY31" s="51">
        <f t="shared" si="37"/>
        <v>4</v>
      </c>
      <c r="CZ31" s="37"/>
      <c r="DA31" s="37">
        <v>43</v>
      </c>
      <c r="DB31" s="37">
        <f t="shared" si="38"/>
        <v>4</v>
      </c>
      <c r="DC31" s="39">
        <f t="shared" si="39"/>
        <v>1</v>
      </c>
      <c r="DD31" s="46">
        <v>111065766.19</v>
      </c>
      <c r="DE31" s="46">
        <v>111065766.19</v>
      </c>
      <c r="DF31" s="37">
        <f t="shared" si="40"/>
        <v>3</v>
      </c>
      <c r="DG31" s="39">
        <f t="shared" si="41"/>
        <v>0</v>
      </c>
      <c r="DH31" s="46">
        <v>0</v>
      </c>
      <c r="DI31" s="46">
        <v>103578402.81</v>
      </c>
      <c r="DJ31" s="37">
        <f t="shared" si="50"/>
        <v>3</v>
      </c>
      <c r="DK31" s="37"/>
      <c r="DL31" s="37"/>
      <c r="DM31" s="37">
        <f t="shared" si="42"/>
        <v>5</v>
      </c>
      <c r="DN31" s="52">
        <f t="shared" si="43"/>
        <v>1</v>
      </c>
      <c r="DO31" s="64">
        <v>10</v>
      </c>
      <c r="DP31" s="64">
        <v>10</v>
      </c>
      <c r="DQ31" s="37">
        <f t="shared" si="44"/>
        <v>4</v>
      </c>
      <c r="DR31" s="39">
        <f t="shared" si="45"/>
        <v>1</v>
      </c>
      <c r="DS31" s="64">
        <v>61</v>
      </c>
      <c r="DT31" s="64">
        <v>61</v>
      </c>
      <c r="DU31" s="54">
        <f t="shared" si="46"/>
        <v>62.971783387024004</v>
      </c>
      <c r="DV31" s="55">
        <f t="shared" si="47"/>
        <v>23</v>
      </c>
      <c r="DW31" s="4"/>
    </row>
    <row r="32" spans="1:127" ht="135">
      <c r="A32" s="35">
        <v>21</v>
      </c>
      <c r="B32" s="35">
        <v>24</v>
      </c>
      <c r="C32" s="56" t="s">
        <v>164</v>
      </c>
      <c r="D32" s="56" t="s">
        <v>184</v>
      </c>
      <c r="E32" s="37">
        <f t="shared" si="55"/>
        <v>3</v>
      </c>
      <c r="F32" s="38">
        <f t="shared" si="1"/>
        <v>1</v>
      </c>
      <c r="G32" s="57">
        <v>14379600</v>
      </c>
      <c r="H32" s="57">
        <v>14379600</v>
      </c>
      <c r="I32" s="37">
        <f t="shared" si="56"/>
        <v>3</v>
      </c>
      <c r="J32" s="39">
        <f t="shared" si="3"/>
        <v>0.99086607292062778</v>
      </c>
      <c r="K32" s="46">
        <v>14699015.640000001</v>
      </c>
      <c r="L32" s="46">
        <v>14834513</v>
      </c>
      <c r="M32" s="37">
        <f>IF(O32/P32&lt;$P$7/100,0,IF(O32/P32&gt;$O$7/100,3,$M$7*(O32/P32-$P$7/100)/(($O$7-$P$7)/100)))</f>
        <v>3</v>
      </c>
      <c r="N32" s="39">
        <f t="shared" si="57"/>
        <v>1.2890729117117117</v>
      </c>
      <c r="O32" s="45">
        <v>14308709.32</v>
      </c>
      <c r="P32" s="46">
        <v>11100000</v>
      </c>
      <c r="Q32" s="37">
        <f t="shared" si="58"/>
        <v>3</v>
      </c>
      <c r="R32" s="39">
        <f t="shared" si="6"/>
        <v>0.99086607292062778</v>
      </c>
      <c r="S32" s="40">
        <f t="shared" si="7"/>
        <v>14699015.640000001</v>
      </c>
      <c r="T32" s="41">
        <v>14834513</v>
      </c>
      <c r="U32" s="37">
        <f t="shared" si="8"/>
        <v>3</v>
      </c>
      <c r="V32" s="39">
        <f t="shared" si="9"/>
        <v>-0.10187051378549904</v>
      </c>
      <c r="W32" s="65">
        <v>0.02</v>
      </c>
      <c r="X32" s="8">
        <v>0</v>
      </c>
      <c r="Y32" s="8">
        <v>6715673.0499999998</v>
      </c>
      <c r="Z32" s="8">
        <v>6715673.0499999998</v>
      </c>
      <c r="AA32" s="40">
        <v>0</v>
      </c>
      <c r="AB32" s="40">
        <v>131847240</v>
      </c>
      <c r="AC32" s="37">
        <f t="shared" si="10"/>
        <v>0</v>
      </c>
      <c r="AD32" s="38">
        <f t="shared" si="11"/>
        <v>0.14319457147339285</v>
      </c>
      <c r="AE32" s="57">
        <v>2979797.4</v>
      </c>
      <c r="AF32" s="57">
        <v>20809429.920000002</v>
      </c>
      <c r="AG32" s="37">
        <f t="shared" si="12"/>
        <v>0</v>
      </c>
      <c r="AH32" s="42">
        <f t="shared" si="13"/>
        <v>11</v>
      </c>
      <c r="AI32" s="42">
        <v>25</v>
      </c>
      <c r="AJ32" s="42">
        <v>18</v>
      </c>
      <c r="AK32" s="37"/>
      <c r="AL32" s="42"/>
      <c r="AM32" s="63"/>
      <c r="AN32" s="37"/>
      <c r="AO32" s="37">
        <f t="shared" si="14"/>
        <v>2.9521736941235783</v>
      </c>
      <c r="AP32" s="39">
        <f t="shared" si="15"/>
        <v>1.5942101958807318E-2</v>
      </c>
      <c r="AQ32" s="57">
        <v>2979797.4</v>
      </c>
      <c r="AR32" s="57">
        <v>186913708.59999999</v>
      </c>
      <c r="AS32" s="37">
        <f t="shared" si="16"/>
        <v>0</v>
      </c>
      <c r="AT32" s="39">
        <f t="shared" si="17"/>
        <v>9.7900286554000682E-2</v>
      </c>
      <c r="AU32" s="45">
        <f t="shared" si="18"/>
        <v>14308709.32</v>
      </c>
      <c r="AV32" s="46">
        <f t="shared" si="19"/>
        <v>131847240</v>
      </c>
      <c r="AW32" s="37">
        <f t="shared" si="20"/>
        <v>2</v>
      </c>
      <c r="AX32" s="39">
        <f t="shared" si="59"/>
        <v>0.17356671204101781</v>
      </c>
      <c r="AY32" s="45">
        <f>AU32</f>
        <v>14308709.32</v>
      </c>
      <c r="AZ32" s="46">
        <v>12192497.6</v>
      </c>
      <c r="BA32" s="37">
        <v>2</v>
      </c>
      <c r="BB32" s="46">
        <f>AY32</f>
        <v>14308709.32</v>
      </c>
      <c r="BC32" s="46">
        <v>0</v>
      </c>
      <c r="BD32" s="37">
        <f t="shared" si="21"/>
        <v>1</v>
      </c>
      <c r="BE32" s="39">
        <f t="shared" si="22"/>
        <v>0</v>
      </c>
      <c r="BF32" s="37">
        <v>0</v>
      </c>
      <c r="BG32" s="46">
        <v>5627202.6699999999</v>
      </c>
      <c r="BH32" s="37">
        <f t="shared" si="23"/>
        <v>1</v>
      </c>
      <c r="BI32" s="37">
        <v>0</v>
      </c>
      <c r="BJ32" s="46">
        <v>25232015.600000001</v>
      </c>
      <c r="BK32" s="37">
        <f t="shared" si="24"/>
        <v>4</v>
      </c>
      <c r="BL32" s="38">
        <f t="shared" si="25"/>
        <v>0</v>
      </c>
      <c r="BM32" s="46">
        <v>0</v>
      </c>
      <c r="BN32" s="46">
        <v>8667.06</v>
      </c>
      <c r="BO32" s="46">
        <v>0</v>
      </c>
      <c r="BP32" s="46">
        <v>8554.06</v>
      </c>
      <c r="BQ32" s="37">
        <f t="shared" si="49"/>
        <v>2</v>
      </c>
      <c r="BR32" s="39">
        <f t="shared" si="26"/>
        <v>0.99123074545779866</v>
      </c>
      <c r="BS32" s="37">
        <v>48751900</v>
      </c>
      <c r="BT32" s="63">
        <v>66</v>
      </c>
      <c r="BU32" s="37">
        <v>12</v>
      </c>
      <c r="BV32" s="63">
        <v>62100</v>
      </c>
      <c r="BW32" s="37">
        <f t="shared" si="48"/>
        <v>0</v>
      </c>
      <c r="BX32" s="39">
        <f t="shared" si="27"/>
        <v>0.83401690055814692</v>
      </c>
      <c r="BY32" s="46">
        <v>121896531.84999999</v>
      </c>
      <c r="BZ32" s="45">
        <v>146155949.31999999</v>
      </c>
      <c r="CA32" s="48">
        <f t="shared" si="28"/>
        <v>2</v>
      </c>
      <c r="CB32" s="49">
        <f t="shared" si="29"/>
        <v>2</v>
      </c>
      <c r="CC32" s="37">
        <v>5</v>
      </c>
      <c r="CD32" s="37">
        <v>5</v>
      </c>
      <c r="CE32" s="37">
        <v>5</v>
      </c>
      <c r="CF32" s="37">
        <f t="shared" si="30"/>
        <v>3</v>
      </c>
      <c r="CG32" s="39">
        <f t="shared" si="31"/>
        <v>1</v>
      </c>
      <c r="CH32" s="37">
        <v>3</v>
      </c>
      <c r="CI32" s="37">
        <v>3</v>
      </c>
      <c r="CJ32" s="48">
        <f t="shared" si="32"/>
        <v>0</v>
      </c>
      <c r="CK32" s="63">
        <v>1</v>
      </c>
      <c r="CL32" s="37">
        <f t="shared" si="33"/>
        <v>0</v>
      </c>
      <c r="CM32" s="50">
        <v>83</v>
      </c>
      <c r="CN32" s="50">
        <v>88</v>
      </c>
      <c r="CO32" s="48">
        <f t="shared" si="34"/>
        <v>0</v>
      </c>
      <c r="CP32" s="37">
        <v>1</v>
      </c>
      <c r="CQ32" s="48">
        <f t="shared" si="35"/>
        <v>3</v>
      </c>
      <c r="CR32" s="63"/>
      <c r="CS32" s="37"/>
      <c r="CT32" s="37"/>
      <c r="CU32" s="37"/>
      <c r="CV32" s="37">
        <f t="shared" si="36"/>
        <v>5</v>
      </c>
      <c r="CW32" s="37">
        <v>6</v>
      </c>
      <c r="CX32" s="37">
        <v>6</v>
      </c>
      <c r="CY32" s="51">
        <f t="shared" si="37"/>
        <v>4</v>
      </c>
      <c r="CZ32" s="37"/>
      <c r="DA32" s="37">
        <v>48.6</v>
      </c>
      <c r="DB32" s="37">
        <f t="shared" si="38"/>
        <v>4</v>
      </c>
      <c r="DC32" s="39">
        <f t="shared" si="39"/>
        <v>1</v>
      </c>
      <c r="DD32" s="46">
        <v>198632926.81999999</v>
      </c>
      <c r="DE32" s="46">
        <v>198632926.81999999</v>
      </c>
      <c r="DF32" s="37">
        <f t="shared" si="40"/>
        <v>3</v>
      </c>
      <c r="DG32" s="39">
        <f t="shared" si="41"/>
        <v>0</v>
      </c>
      <c r="DH32" s="46">
        <v>0</v>
      </c>
      <c r="DI32" s="46">
        <v>183933911.18000001</v>
      </c>
      <c r="DJ32" s="37"/>
      <c r="DK32" s="37"/>
      <c r="DL32" s="37"/>
      <c r="DM32" s="37">
        <f t="shared" si="42"/>
        <v>5</v>
      </c>
      <c r="DN32" s="52">
        <f t="shared" si="43"/>
        <v>1</v>
      </c>
      <c r="DO32" s="64">
        <v>4</v>
      </c>
      <c r="DP32" s="64">
        <v>4</v>
      </c>
      <c r="DQ32" s="37">
        <f t="shared" si="44"/>
        <v>4</v>
      </c>
      <c r="DR32" s="39">
        <f t="shared" si="45"/>
        <v>1</v>
      </c>
      <c r="DS32" s="64">
        <v>180</v>
      </c>
      <c r="DT32" s="64">
        <v>180</v>
      </c>
      <c r="DU32" s="54">
        <f t="shared" si="46"/>
        <v>62.95217369412358</v>
      </c>
      <c r="DV32" s="55">
        <f t="shared" si="47"/>
        <v>24</v>
      </c>
      <c r="DW32" s="4"/>
    </row>
    <row r="33" spans="1:127" ht="135">
      <c r="A33" s="35">
        <v>2</v>
      </c>
      <c r="B33" s="35">
        <v>9</v>
      </c>
      <c r="C33" s="56" t="s">
        <v>161</v>
      </c>
      <c r="D33" s="56" t="s">
        <v>163</v>
      </c>
      <c r="E33" s="37">
        <f t="shared" si="55"/>
        <v>0</v>
      </c>
      <c r="F33" s="38">
        <f t="shared" si="1"/>
        <v>1.9765316908506858</v>
      </c>
      <c r="G33" s="6">
        <v>230503374.83000001</v>
      </c>
      <c r="H33" s="57">
        <v>116620126</v>
      </c>
      <c r="I33" s="37">
        <f t="shared" si="56"/>
        <v>3</v>
      </c>
      <c r="J33" s="39">
        <f t="shared" si="3"/>
        <v>1.0158936585030398</v>
      </c>
      <c r="K33" s="7">
        <v>215565647.80000001</v>
      </c>
      <c r="L33" s="46">
        <v>212193122.77000001</v>
      </c>
      <c r="M33" s="37">
        <v>0</v>
      </c>
      <c r="N33" s="39">
        <f t="shared" si="57"/>
        <v>0</v>
      </c>
      <c r="O33" s="7">
        <v>230503374.83000001</v>
      </c>
      <c r="P33" s="46">
        <v>0</v>
      </c>
      <c r="Q33" s="37">
        <f t="shared" si="58"/>
        <v>3</v>
      </c>
      <c r="R33" s="39">
        <f t="shared" si="6"/>
        <v>1.0158936585030398</v>
      </c>
      <c r="S33" s="40">
        <f t="shared" si="7"/>
        <v>215565647.80000001</v>
      </c>
      <c r="T33" s="41">
        <v>212193122.77000001</v>
      </c>
      <c r="U33" s="37">
        <f t="shared" si="8"/>
        <v>3</v>
      </c>
      <c r="V33" s="39">
        <f t="shared" si="9"/>
        <v>-0.11694956360198122</v>
      </c>
      <c r="W33" s="65">
        <v>3461795.67</v>
      </c>
      <c r="X33" s="8">
        <v>0</v>
      </c>
      <c r="Y33" s="8">
        <v>36519558.159999996</v>
      </c>
      <c r="Z33" s="8">
        <v>18903829.129999999</v>
      </c>
      <c r="AA33" s="40">
        <v>0</v>
      </c>
      <c r="AB33" s="40">
        <v>444307700</v>
      </c>
      <c r="AC33" s="37">
        <f t="shared" si="10"/>
        <v>0</v>
      </c>
      <c r="AD33" s="38">
        <f t="shared" si="11"/>
        <v>0.19777444742419145</v>
      </c>
      <c r="AE33" s="9">
        <v>14236121.050000001</v>
      </c>
      <c r="AF33" s="9">
        <v>71981599.420000002</v>
      </c>
      <c r="AG33" s="37">
        <f t="shared" si="12"/>
        <v>0</v>
      </c>
      <c r="AH33" s="42">
        <f t="shared" si="13"/>
        <v>23</v>
      </c>
      <c r="AI33" s="42">
        <v>48</v>
      </c>
      <c r="AJ33" s="42">
        <v>29</v>
      </c>
      <c r="AK33" s="37"/>
      <c r="AL33" s="42"/>
      <c r="AM33" s="63"/>
      <c r="AN33" s="37"/>
      <c r="AO33" s="37">
        <f t="shared" si="14"/>
        <v>2.9161481424413296</v>
      </c>
      <c r="AP33" s="39">
        <f t="shared" si="15"/>
        <v>2.7950619186223408E-2</v>
      </c>
      <c r="AQ33" s="57">
        <v>17697916.719999999</v>
      </c>
      <c r="AR33" s="9">
        <v>633185139.90999997</v>
      </c>
      <c r="AS33" s="37">
        <f t="shared" si="16"/>
        <v>0.97594881813219869</v>
      </c>
      <c r="AT33" s="39">
        <f t="shared" si="17"/>
        <v>0.34158208634626952</v>
      </c>
      <c r="AU33" s="45">
        <f t="shared" si="18"/>
        <v>230503374.83000001</v>
      </c>
      <c r="AV33" s="46">
        <f t="shared" si="19"/>
        <v>444307700</v>
      </c>
      <c r="AW33" s="37">
        <f t="shared" si="20"/>
        <v>2</v>
      </c>
      <c r="AX33" s="39">
        <f t="shared" si="59"/>
        <v>0.89928194398716288</v>
      </c>
      <c r="AY33" s="45">
        <f>AU33</f>
        <v>230503374.83000001</v>
      </c>
      <c r="AZ33" s="46">
        <v>121363431.88</v>
      </c>
      <c r="BA33" s="37">
        <v>2</v>
      </c>
      <c r="BB33" s="46">
        <f>AY33</f>
        <v>230503374.83000001</v>
      </c>
      <c r="BC33" s="46">
        <v>0</v>
      </c>
      <c r="BD33" s="37">
        <f t="shared" si="21"/>
        <v>1</v>
      </c>
      <c r="BE33" s="39">
        <f t="shared" si="22"/>
        <v>0</v>
      </c>
      <c r="BF33" s="37">
        <v>0</v>
      </c>
      <c r="BG33" s="46">
        <v>39941945.090000004</v>
      </c>
      <c r="BH33" s="37">
        <f t="shared" si="23"/>
        <v>1</v>
      </c>
      <c r="BI33" s="37">
        <v>0</v>
      </c>
      <c r="BJ33" s="46">
        <v>85771427.120000005</v>
      </c>
      <c r="BK33" s="37">
        <f t="shared" si="24"/>
        <v>4</v>
      </c>
      <c r="BL33" s="38">
        <f t="shared" si="25"/>
        <v>0</v>
      </c>
      <c r="BM33" s="46">
        <v>0</v>
      </c>
      <c r="BN33" s="46">
        <v>346624.5</v>
      </c>
      <c r="BO33" s="46">
        <v>0</v>
      </c>
      <c r="BP33" s="46">
        <v>33326.519999999997</v>
      </c>
      <c r="BQ33" s="37">
        <f t="shared" si="49"/>
        <v>2</v>
      </c>
      <c r="BR33" s="39">
        <f t="shared" si="26"/>
        <v>1.0073601888512209</v>
      </c>
      <c r="BS33" s="37">
        <v>125183300</v>
      </c>
      <c r="BT33" s="63">
        <v>84.44</v>
      </c>
      <c r="BU33" s="37">
        <v>12</v>
      </c>
      <c r="BV33" s="63">
        <v>122640</v>
      </c>
      <c r="BW33" s="37">
        <f t="shared" si="48"/>
        <v>2</v>
      </c>
      <c r="BX33" s="39">
        <f t="shared" si="27"/>
        <v>0.72041747503788067</v>
      </c>
      <c r="BY33" s="46">
        <f>345630.6*1000*1.302</f>
        <v>450011041.19999999</v>
      </c>
      <c r="BZ33" s="10">
        <v>624653144.59000003</v>
      </c>
      <c r="CA33" s="48">
        <f t="shared" si="28"/>
        <v>2</v>
      </c>
      <c r="CB33" s="49">
        <f t="shared" si="29"/>
        <v>1.3333333333333333</v>
      </c>
      <c r="CC33" s="37">
        <v>8</v>
      </c>
      <c r="CD33" s="37">
        <v>8</v>
      </c>
      <c r="CE33" s="37">
        <v>12</v>
      </c>
      <c r="CF33" s="37">
        <f t="shared" si="30"/>
        <v>0</v>
      </c>
      <c r="CG33" s="39">
        <f t="shared" si="31"/>
        <v>0.33333333333333331</v>
      </c>
      <c r="CH33" s="37">
        <v>1</v>
      </c>
      <c r="CI33" s="37">
        <v>3</v>
      </c>
      <c r="CJ33" s="48">
        <f t="shared" si="32"/>
        <v>0</v>
      </c>
      <c r="CK33" s="63">
        <v>1</v>
      </c>
      <c r="CL33" s="37">
        <f t="shared" si="33"/>
        <v>0</v>
      </c>
      <c r="CM33" s="50">
        <v>70</v>
      </c>
      <c r="CN33" s="50">
        <v>88</v>
      </c>
      <c r="CO33" s="48">
        <f t="shared" si="34"/>
        <v>3</v>
      </c>
      <c r="CP33" s="37"/>
      <c r="CQ33" s="48">
        <f t="shared" si="35"/>
        <v>3</v>
      </c>
      <c r="CR33" s="63"/>
      <c r="CS33" s="37"/>
      <c r="CT33" s="37"/>
      <c r="CU33" s="37"/>
      <c r="CV33" s="37">
        <f t="shared" si="36"/>
        <v>5</v>
      </c>
      <c r="CW33" s="37">
        <v>6</v>
      </c>
      <c r="CX33" s="37">
        <v>6</v>
      </c>
      <c r="CY33" s="51">
        <f t="shared" si="37"/>
        <v>4</v>
      </c>
      <c r="CZ33" s="37"/>
      <c r="DA33" s="37">
        <v>168.38</v>
      </c>
      <c r="DB33" s="37">
        <f t="shared" si="38"/>
        <v>4</v>
      </c>
      <c r="DC33" s="39">
        <f t="shared" si="39"/>
        <v>0.99220856251197087</v>
      </c>
      <c r="DD33" s="11">
        <v>440845904.32999998</v>
      </c>
      <c r="DE33" s="11">
        <v>444307700</v>
      </c>
      <c r="DF33" s="37">
        <f t="shared" si="40"/>
        <v>3</v>
      </c>
      <c r="DG33" s="39">
        <f t="shared" si="41"/>
        <v>0</v>
      </c>
      <c r="DH33" s="46">
        <v>0</v>
      </c>
      <c r="DI33" s="11">
        <v>618527158.70000005</v>
      </c>
      <c r="DJ33" s="37">
        <f t="shared" ref="DJ33:DJ67" si="60">IF(DK33&gt;0,0,3)</f>
        <v>3</v>
      </c>
      <c r="DK33" s="37"/>
      <c r="DL33" s="37"/>
      <c r="DM33" s="37">
        <f t="shared" si="42"/>
        <v>5</v>
      </c>
      <c r="DN33" s="52">
        <f t="shared" si="43"/>
        <v>1</v>
      </c>
      <c r="DO33" s="64">
        <v>50</v>
      </c>
      <c r="DP33" s="64">
        <v>50</v>
      </c>
      <c r="DQ33" s="37">
        <f t="shared" si="44"/>
        <v>4</v>
      </c>
      <c r="DR33" s="39">
        <f t="shared" si="45"/>
        <v>1</v>
      </c>
      <c r="DS33" s="64">
        <v>459</v>
      </c>
      <c r="DT33" s="64">
        <v>459</v>
      </c>
      <c r="DU33" s="54">
        <f t="shared" si="46"/>
        <v>62.892096960573525</v>
      </c>
      <c r="DV33" s="55">
        <f t="shared" si="47"/>
        <v>25</v>
      </c>
      <c r="DW33" s="4"/>
    </row>
    <row r="34" spans="1:127" ht="120">
      <c r="A34" s="35">
        <v>9</v>
      </c>
      <c r="B34" s="35">
        <v>2</v>
      </c>
      <c r="C34" s="56" t="s">
        <v>161</v>
      </c>
      <c r="D34" s="56" t="s">
        <v>172</v>
      </c>
      <c r="E34" s="37">
        <f t="shared" si="55"/>
        <v>0</v>
      </c>
      <c r="F34" s="38">
        <f t="shared" si="1"/>
        <v>1.1580984586220593</v>
      </c>
      <c r="G34" s="57">
        <v>7568327.5700000003</v>
      </c>
      <c r="H34" s="57">
        <v>6535133.0999999996</v>
      </c>
      <c r="I34" s="37">
        <f t="shared" si="56"/>
        <v>0.43096496312848842</v>
      </c>
      <c r="J34" s="39">
        <f t="shared" si="3"/>
        <v>0.91149239901675971</v>
      </c>
      <c r="K34" s="46">
        <v>6841389.1100000003</v>
      </c>
      <c r="L34" s="46">
        <v>7505700.6699999999</v>
      </c>
      <c r="M34" s="37">
        <f>IF(O34/P34&lt;$P$7/100,0,IF(O34/P34&gt;$O$7/100,3,$M$7*(O34/P34-$P$7/100)/(($O$7-$P$7)/100)))</f>
        <v>3</v>
      </c>
      <c r="N34" s="39">
        <f t="shared" si="57"/>
        <v>1.1183841355932205</v>
      </c>
      <c r="O34" s="45">
        <v>6598466.4000000004</v>
      </c>
      <c r="P34" s="46">
        <v>5900000</v>
      </c>
      <c r="Q34" s="37">
        <f t="shared" si="58"/>
        <v>2.4223859852513954</v>
      </c>
      <c r="R34" s="39">
        <f t="shared" si="6"/>
        <v>0.91149239901675971</v>
      </c>
      <c r="S34" s="40">
        <f t="shared" si="7"/>
        <v>6841389.1100000003</v>
      </c>
      <c r="T34" s="41">
        <v>7505700.6699999999</v>
      </c>
      <c r="U34" s="37">
        <f t="shared" si="8"/>
        <v>3</v>
      </c>
      <c r="V34" s="39">
        <f t="shared" si="9"/>
        <v>-0.11163758997153896</v>
      </c>
      <c r="W34" s="65" t="s">
        <v>166</v>
      </c>
      <c r="X34" s="8">
        <v>0</v>
      </c>
      <c r="Y34" s="8">
        <v>3370970.71</v>
      </c>
      <c r="Z34" s="8">
        <v>3370970.71</v>
      </c>
      <c r="AA34" s="40">
        <v>0</v>
      </c>
      <c r="AB34" s="40">
        <v>60391320</v>
      </c>
      <c r="AC34" s="37">
        <f t="shared" si="10"/>
        <v>0</v>
      </c>
      <c r="AD34" s="38">
        <f t="shared" si="11"/>
        <v>5.0599053754181444E-2</v>
      </c>
      <c r="AE34" s="57">
        <v>435251</v>
      </c>
      <c r="AF34" s="57">
        <v>8601959.2800000012</v>
      </c>
      <c r="AG34" s="37">
        <f t="shared" si="12"/>
        <v>0</v>
      </c>
      <c r="AH34" s="42">
        <f t="shared" si="13"/>
        <v>21</v>
      </c>
      <c r="AI34" s="42">
        <v>28</v>
      </c>
      <c r="AJ34" s="42">
        <v>11</v>
      </c>
      <c r="AK34" s="37"/>
      <c r="AL34" s="42"/>
      <c r="AM34" s="37"/>
      <c r="AN34" s="37"/>
      <c r="AO34" s="37">
        <f t="shared" si="14"/>
        <v>2.9982114734692358</v>
      </c>
      <c r="AP34" s="39">
        <f t="shared" si="15"/>
        <v>5.961755102546957E-4</v>
      </c>
      <c r="AQ34" s="57">
        <v>55000</v>
      </c>
      <c r="AR34" s="57">
        <v>92254712</v>
      </c>
      <c r="AS34" s="37">
        <f t="shared" si="16"/>
        <v>0</v>
      </c>
      <c r="AT34" s="39">
        <f t="shared" si="17"/>
        <v>9.8499588588029902E-2</v>
      </c>
      <c r="AU34" s="45">
        <f t="shared" si="18"/>
        <v>6598466.4000000004</v>
      </c>
      <c r="AV34" s="46">
        <f t="shared" si="19"/>
        <v>60391320</v>
      </c>
      <c r="AW34" s="37">
        <f t="shared" si="20"/>
        <v>2</v>
      </c>
      <c r="AX34" s="39">
        <f t="shared" si="59"/>
        <v>0.18332775402111645</v>
      </c>
      <c r="AY34" s="45">
        <f>AU34</f>
        <v>6598466.4000000004</v>
      </c>
      <c r="AZ34" s="46">
        <v>5576195.0800000001</v>
      </c>
      <c r="BA34" s="37">
        <v>2</v>
      </c>
      <c r="BB34" s="46">
        <f>AY34</f>
        <v>6598466.4000000004</v>
      </c>
      <c r="BC34" s="46">
        <v>0</v>
      </c>
      <c r="BD34" s="37">
        <f t="shared" si="21"/>
        <v>1</v>
      </c>
      <c r="BE34" s="39">
        <f t="shared" si="22"/>
        <v>0</v>
      </c>
      <c r="BF34" s="37">
        <v>0</v>
      </c>
      <c r="BG34" s="46">
        <v>589347.97</v>
      </c>
      <c r="BH34" s="37">
        <f t="shared" si="23"/>
        <v>1</v>
      </c>
      <c r="BI34" s="37">
        <v>0</v>
      </c>
      <c r="BJ34" s="46">
        <v>752940.42</v>
      </c>
      <c r="BK34" s="37">
        <f t="shared" si="24"/>
        <v>4</v>
      </c>
      <c r="BL34" s="38">
        <f t="shared" si="25"/>
        <v>0</v>
      </c>
      <c r="BM34" s="46">
        <v>0</v>
      </c>
      <c r="BN34" s="46">
        <v>8667.02</v>
      </c>
      <c r="BO34" s="46">
        <v>0</v>
      </c>
      <c r="BP34" s="46">
        <v>3922.76</v>
      </c>
      <c r="BQ34" s="37">
        <f t="shared" si="49"/>
        <v>2</v>
      </c>
      <c r="BR34" s="39">
        <f t="shared" si="26"/>
        <v>0.99057376881251202</v>
      </c>
      <c r="BS34" s="37">
        <v>19340200</v>
      </c>
      <c r="BT34" s="37">
        <v>26.2</v>
      </c>
      <c r="BU34" s="37">
        <v>12</v>
      </c>
      <c r="BV34" s="63">
        <v>62100</v>
      </c>
      <c r="BW34" s="37">
        <f t="shared" si="48"/>
        <v>0</v>
      </c>
      <c r="BX34" s="39">
        <f t="shared" si="27"/>
        <v>0.83172325234632027</v>
      </c>
      <c r="BY34" s="46">
        <f>38608.9*1000*1.302</f>
        <v>50268787.800000004</v>
      </c>
      <c r="BZ34" s="45">
        <v>60439320</v>
      </c>
      <c r="CA34" s="48">
        <f t="shared" si="28"/>
        <v>2</v>
      </c>
      <c r="CB34" s="49">
        <f t="shared" si="29"/>
        <v>1.3333333333333333</v>
      </c>
      <c r="CC34" s="37">
        <v>3</v>
      </c>
      <c r="CD34" s="37">
        <v>1</v>
      </c>
      <c r="CE34" s="37">
        <v>3</v>
      </c>
      <c r="CF34" s="37">
        <f t="shared" si="30"/>
        <v>3</v>
      </c>
      <c r="CG34" s="39">
        <f t="shared" si="31"/>
        <v>1</v>
      </c>
      <c r="CH34" s="37">
        <v>2</v>
      </c>
      <c r="CI34" s="37">
        <v>2</v>
      </c>
      <c r="CJ34" s="48">
        <f t="shared" si="32"/>
        <v>0</v>
      </c>
      <c r="CK34" s="37">
        <v>1</v>
      </c>
      <c r="CL34" s="37">
        <f t="shared" si="33"/>
        <v>0</v>
      </c>
      <c r="CM34" s="50">
        <v>85</v>
      </c>
      <c r="CN34" s="50">
        <v>88</v>
      </c>
      <c r="CO34" s="48">
        <f t="shared" si="34"/>
        <v>3</v>
      </c>
      <c r="CP34" s="37"/>
      <c r="CQ34" s="48">
        <f t="shared" si="35"/>
        <v>3</v>
      </c>
      <c r="CR34" s="37"/>
      <c r="CS34" s="37"/>
      <c r="CT34" s="37"/>
      <c r="CU34" s="37"/>
      <c r="CV34" s="37">
        <f t="shared" si="36"/>
        <v>5</v>
      </c>
      <c r="CW34" s="37">
        <v>6</v>
      </c>
      <c r="CX34" s="37">
        <v>6</v>
      </c>
      <c r="CY34" s="51">
        <f t="shared" si="37"/>
        <v>4</v>
      </c>
      <c r="CZ34" s="37"/>
      <c r="DA34" s="37">
        <v>384.12</v>
      </c>
      <c r="DB34" s="37">
        <f t="shared" si="38"/>
        <v>4</v>
      </c>
      <c r="DC34" s="39">
        <f t="shared" si="39"/>
        <v>1</v>
      </c>
      <c r="DD34" s="46">
        <v>91877587</v>
      </c>
      <c r="DE34" s="46">
        <v>91877587</v>
      </c>
      <c r="DF34" s="37">
        <f t="shared" si="40"/>
        <v>3</v>
      </c>
      <c r="DG34" s="39">
        <f t="shared" si="41"/>
        <v>0</v>
      </c>
      <c r="DH34" s="46">
        <v>0</v>
      </c>
      <c r="DI34" s="46">
        <v>91829587</v>
      </c>
      <c r="DJ34" s="37">
        <f t="shared" si="60"/>
        <v>3</v>
      </c>
      <c r="DK34" s="37"/>
      <c r="DL34" s="37"/>
      <c r="DM34" s="37">
        <f t="shared" si="42"/>
        <v>5</v>
      </c>
      <c r="DN34" s="52">
        <f t="shared" si="43"/>
        <v>1</v>
      </c>
      <c r="DO34" s="64">
        <v>14</v>
      </c>
      <c r="DP34" s="64">
        <v>14</v>
      </c>
      <c r="DQ34" s="37">
        <f t="shared" si="44"/>
        <v>4</v>
      </c>
      <c r="DR34" s="39">
        <f t="shared" si="45"/>
        <v>1</v>
      </c>
      <c r="DS34" s="64">
        <v>45</v>
      </c>
      <c r="DT34" s="64">
        <v>45</v>
      </c>
      <c r="DU34" s="54">
        <f t="shared" si="46"/>
        <v>62.851562421849124</v>
      </c>
      <c r="DV34" s="55">
        <f t="shared" si="47"/>
        <v>26</v>
      </c>
      <c r="DW34" s="4"/>
    </row>
    <row r="35" spans="1:127" ht="75">
      <c r="A35" s="35">
        <v>55</v>
      </c>
      <c r="B35" s="35">
        <v>18</v>
      </c>
      <c r="C35" s="56" t="s">
        <v>164</v>
      </c>
      <c r="D35" s="56" t="s">
        <v>221</v>
      </c>
      <c r="E35" s="37">
        <f t="shared" si="55"/>
        <v>3</v>
      </c>
      <c r="F35" s="38">
        <f t="shared" si="1"/>
        <v>1</v>
      </c>
      <c r="G35" s="57">
        <v>5778480.4400000004</v>
      </c>
      <c r="H35" s="57">
        <v>5778480.4400000004</v>
      </c>
      <c r="I35" s="37">
        <f t="shared" si="56"/>
        <v>0</v>
      </c>
      <c r="J35" s="39">
        <f t="shared" si="3"/>
        <v>0.73179814518557962</v>
      </c>
      <c r="K35" s="46">
        <v>5187758.3099999996</v>
      </c>
      <c r="L35" s="46">
        <v>7089056.3799999999</v>
      </c>
      <c r="M35" s="37">
        <f>IF(O35/P35&lt;$P$7/100,0,IF(O35/P35&gt;$O$7/100,3,$M$7*(O35/P35-$P$7/100)/(($O$7-$P$7)/100)))</f>
        <v>3</v>
      </c>
      <c r="N35" s="39">
        <f t="shared" si="57"/>
        <v>1.0242136133333333</v>
      </c>
      <c r="O35" s="45">
        <v>4608961.26</v>
      </c>
      <c r="P35" s="46">
        <v>4500000</v>
      </c>
      <c r="Q35" s="37">
        <f t="shared" si="58"/>
        <v>0</v>
      </c>
      <c r="R35" s="39">
        <f t="shared" si="6"/>
        <v>0.73179814518557962</v>
      </c>
      <c r="S35" s="40">
        <f t="shared" si="7"/>
        <v>5187758.3099999996</v>
      </c>
      <c r="T35" s="41">
        <v>7089056.3799999999</v>
      </c>
      <c r="U35" s="37">
        <f t="shared" si="8"/>
        <v>3</v>
      </c>
      <c r="V35" s="39">
        <f t="shared" si="9"/>
        <v>-4.5524139048598845E-2</v>
      </c>
      <c r="W35" s="65">
        <v>8029828.3799999999</v>
      </c>
      <c r="X35" s="8">
        <v>8029818.3799999999</v>
      </c>
      <c r="Y35" s="8">
        <v>2570111.31</v>
      </c>
      <c r="Z35" s="8">
        <v>2570111.31</v>
      </c>
      <c r="AA35" s="40">
        <v>0</v>
      </c>
      <c r="AB35" s="40">
        <v>112911803</v>
      </c>
      <c r="AC35" s="37">
        <f t="shared" si="10"/>
        <v>0</v>
      </c>
      <c r="AD35" s="38">
        <f t="shared" si="11"/>
        <v>0.12299910451075675</v>
      </c>
      <c r="AE35" s="57">
        <v>4197455.6399999997</v>
      </c>
      <c r="AF35" s="57">
        <v>34125904.06000001</v>
      </c>
      <c r="AG35" s="37">
        <f t="shared" si="12"/>
        <v>1</v>
      </c>
      <c r="AH35" s="42">
        <f t="shared" si="13"/>
        <v>4</v>
      </c>
      <c r="AI35" s="42">
        <v>2</v>
      </c>
      <c r="AJ35" s="42">
        <v>2</v>
      </c>
      <c r="AK35" s="37"/>
      <c r="AL35" s="42"/>
      <c r="AM35" s="63"/>
      <c r="AN35" s="37"/>
      <c r="AO35" s="37">
        <f t="shared" si="14"/>
        <v>2.9323555984429195</v>
      </c>
      <c r="AP35" s="39">
        <f t="shared" si="15"/>
        <v>2.2548133852360232E-2</v>
      </c>
      <c r="AQ35" s="57">
        <v>4197455.6399999997</v>
      </c>
      <c r="AR35" s="57">
        <v>186155345.16</v>
      </c>
      <c r="AS35" s="37">
        <f t="shared" si="16"/>
        <v>0</v>
      </c>
      <c r="AT35" s="39">
        <f t="shared" si="17"/>
        <v>3.9218271673278508E-2</v>
      </c>
      <c r="AU35" s="45">
        <f t="shared" si="18"/>
        <v>4608961.26</v>
      </c>
      <c r="AV35" s="46">
        <f t="shared" si="19"/>
        <v>112911803</v>
      </c>
      <c r="AW35" s="37">
        <f t="shared" si="20"/>
        <v>0.58535985922610934</v>
      </c>
      <c r="AX35" s="39">
        <f t="shared" si="59"/>
        <v>7.3169982403263667E-2</v>
      </c>
      <c r="AY35" s="45">
        <f>AU35</f>
        <v>4608961.26</v>
      </c>
      <c r="AZ35" s="46">
        <v>4294716.9000000004</v>
      </c>
      <c r="BA35" s="37">
        <v>2</v>
      </c>
      <c r="BB35" s="46">
        <f>AY35</f>
        <v>4608961.26</v>
      </c>
      <c r="BC35" s="46">
        <v>0</v>
      </c>
      <c r="BD35" s="37">
        <f t="shared" si="21"/>
        <v>1</v>
      </c>
      <c r="BE35" s="39">
        <f t="shared" si="22"/>
        <v>0</v>
      </c>
      <c r="BF35" s="37">
        <v>0</v>
      </c>
      <c r="BG35" s="46">
        <v>12558810.6</v>
      </c>
      <c r="BH35" s="37">
        <f t="shared" si="23"/>
        <v>1</v>
      </c>
      <c r="BI35" s="37">
        <v>0</v>
      </c>
      <c r="BJ35" s="46">
        <v>10153016.34</v>
      </c>
      <c r="BK35" s="37">
        <f t="shared" si="24"/>
        <v>4</v>
      </c>
      <c r="BL35" s="38">
        <f t="shared" si="25"/>
        <v>0</v>
      </c>
      <c r="BM35" s="46">
        <v>0</v>
      </c>
      <c r="BN35" s="46">
        <v>100969.92</v>
      </c>
      <c r="BO35" s="46">
        <v>127.64</v>
      </c>
      <c r="BP35" s="46">
        <v>8512.74</v>
      </c>
      <c r="BQ35" s="37">
        <f t="shared" si="49"/>
        <v>2</v>
      </c>
      <c r="BR35" s="39">
        <f t="shared" si="26"/>
        <v>1.0060657976505178</v>
      </c>
      <c r="BS35" s="37">
        <v>24170600</v>
      </c>
      <c r="BT35" s="63">
        <v>30.3</v>
      </c>
      <c r="BU35" s="37">
        <v>12</v>
      </c>
      <c r="BV35" s="63">
        <v>66075</v>
      </c>
      <c r="BW35" s="37">
        <f t="shared" si="48"/>
        <v>0</v>
      </c>
      <c r="BX35" s="39">
        <f t="shared" si="27"/>
        <v>0.47551894639116771</v>
      </c>
      <c r="BY35" s="46">
        <v>55883350</v>
      </c>
      <c r="BZ35" s="45">
        <v>117520764.26000001</v>
      </c>
      <c r="CA35" s="48">
        <f t="shared" si="28"/>
        <v>2</v>
      </c>
      <c r="CB35" s="49">
        <f t="shared" si="29"/>
        <v>1.6</v>
      </c>
      <c r="CC35" s="37">
        <v>4</v>
      </c>
      <c r="CD35" s="37">
        <v>4</v>
      </c>
      <c r="CE35" s="37">
        <v>5</v>
      </c>
      <c r="CF35" s="37">
        <f t="shared" si="30"/>
        <v>3</v>
      </c>
      <c r="CG35" s="39">
        <f t="shared" si="31"/>
        <v>1</v>
      </c>
      <c r="CH35" s="37">
        <v>1</v>
      </c>
      <c r="CI35" s="37">
        <v>1</v>
      </c>
      <c r="CJ35" s="48">
        <f t="shared" si="32"/>
        <v>0</v>
      </c>
      <c r="CK35" s="63">
        <v>1</v>
      </c>
      <c r="CL35" s="37">
        <f t="shared" si="33"/>
        <v>0</v>
      </c>
      <c r="CM35" s="50">
        <v>69</v>
      </c>
      <c r="CN35" s="50">
        <v>88</v>
      </c>
      <c r="CO35" s="48">
        <f t="shared" si="34"/>
        <v>3</v>
      </c>
      <c r="CP35" s="37"/>
      <c r="CQ35" s="48">
        <f t="shared" si="35"/>
        <v>3</v>
      </c>
      <c r="CR35" s="63"/>
      <c r="CS35" s="37"/>
      <c r="CT35" s="37"/>
      <c r="CU35" s="37"/>
      <c r="CV35" s="37">
        <f t="shared" si="36"/>
        <v>5</v>
      </c>
      <c r="CW35" s="37">
        <v>6</v>
      </c>
      <c r="CX35" s="37">
        <v>6</v>
      </c>
      <c r="CY35" s="51">
        <f t="shared" si="37"/>
        <v>4</v>
      </c>
      <c r="CZ35" s="37"/>
      <c r="DA35" s="37" t="s">
        <v>212</v>
      </c>
      <c r="DB35" s="37">
        <f t="shared" si="38"/>
        <v>4</v>
      </c>
      <c r="DC35" s="39">
        <f t="shared" si="39"/>
        <v>1</v>
      </c>
      <c r="DD35" s="46">
        <v>183646003.44999999</v>
      </c>
      <c r="DE35" s="46">
        <v>183646003.44999999</v>
      </c>
      <c r="DF35" s="37">
        <f t="shared" si="40"/>
        <v>3</v>
      </c>
      <c r="DG35" s="39">
        <f t="shared" si="41"/>
        <v>0</v>
      </c>
      <c r="DH35" s="46">
        <v>0</v>
      </c>
      <c r="DI35" s="46">
        <v>178458245.13999999</v>
      </c>
      <c r="DJ35" s="37">
        <f t="shared" si="60"/>
        <v>3</v>
      </c>
      <c r="DK35" s="37"/>
      <c r="DL35" s="37"/>
      <c r="DM35" s="37">
        <f t="shared" si="42"/>
        <v>5</v>
      </c>
      <c r="DN35" s="52">
        <f t="shared" si="43"/>
        <v>1</v>
      </c>
      <c r="DO35" s="64">
        <v>18</v>
      </c>
      <c r="DP35" s="64">
        <v>18</v>
      </c>
      <c r="DQ35" s="37">
        <f t="shared" si="44"/>
        <v>4</v>
      </c>
      <c r="DR35" s="39">
        <f t="shared" si="45"/>
        <v>1</v>
      </c>
      <c r="DS35" s="64">
        <v>116</v>
      </c>
      <c r="DT35" s="64">
        <v>116</v>
      </c>
      <c r="DU35" s="54">
        <f t="shared" si="46"/>
        <v>62.517715457669027</v>
      </c>
      <c r="DV35" s="55">
        <f t="shared" si="47"/>
        <v>27</v>
      </c>
      <c r="DW35" s="4"/>
    </row>
    <row r="36" spans="1:127" ht="150">
      <c r="A36" s="35">
        <v>45</v>
      </c>
      <c r="B36" s="35">
        <v>48</v>
      </c>
      <c r="C36" s="56" t="s">
        <v>164</v>
      </c>
      <c r="D36" s="56" t="s">
        <v>210</v>
      </c>
      <c r="E36" s="37">
        <f t="shared" si="55"/>
        <v>0</v>
      </c>
      <c r="F36" s="38">
        <f t="shared" si="1"/>
        <v>1.0000076479495847</v>
      </c>
      <c r="G36" s="57">
        <v>65377.5</v>
      </c>
      <c r="H36" s="57">
        <v>65377</v>
      </c>
      <c r="I36" s="37">
        <f t="shared" si="56"/>
        <v>3</v>
      </c>
      <c r="J36" s="39">
        <f t="shared" si="3"/>
        <v>1.0000076479495847</v>
      </c>
      <c r="K36" s="46">
        <v>65377.5</v>
      </c>
      <c r="L36" s="46">
        <v>65377</v>
      </c>
      <c r="M36" s="37"/>
      <c r="N36" s="39">
        <f t="shared" si="57"/>
        <v>0</v>
      </c>
      <c r="O36" s="45">
        <v>65377.5</v>
      </c>
      <c r="P36" s="46">
        <v>0</v>
      </c>
      <c r="Q36" s="37">
        <f t="shared" si="58"/>
        <v>3</v>
      </c>
      <c r="R36" s="39">
        <f t="shared" si="6"/>
        <v>1.0000076479495847</v>
      </c>
      <c r="S36" s="40">
        <f t="shared" si="7"/>
        <v>65377.5</v>
      </c>
      <c r="T36" s="41">
        <v>65377</v>
      </c>
      <c r="U36" s="37">
        <f t="shared" si="8"/>
        <v>3</v>
      </c>
      <c r="V36" s="39">
        <f t="shared" si="9"/>
        <v>-8.5293261856436806E-2</v>
      </c>
      <c r="W36" s="40">
        <v>0.01</v>
      </c>
      <c r="X36" s="8">
        <v>0.01</v>
      </c>
      <c r="Y36" s="8">
        <v>2202033.2000000002</v>
      </c>
      <c r="Z36" s="8">
        <v>2202033.2000000002</v>
      </c>
      <c r="AA36" s="40">
        <v>0</v>
      </c>
      <c r="AB36" s="40">
        <v>51634400</v>
      </c>
      <c r="AC36" s="37">
        <f t="shared" si="10"/>
        <v>3</v>
      </c>
      <c r="AD36" s="38">
        <f t="shared" si="11"/>
        <v>0</v>
      </c>
      <c r="AE36" s="57">
        <v>0</v>
      </c>
      <c r="AF36" s="57">
        <v>14099521.6</v>
      </c>
      <c r="AG36" s="37">
        <f t="shared" si="12"/>
        <v>0</v>
      </c>
      <c r="AH36" s="42">
        <f t="shared" si="13"/>
        <v>-3</v>
      </c>
      <c r="AI36" s="42">
        <v>15</v>
      </c>
      <c r="AJ36" s="42">
        <v>22</v>
      </c>
      <c r="AK36" s="37"/>
      <c r="AL36" s="42"/>
      <c r="AM36" s="37"/>
      <c r="AN36" s="37"/>
      <c r="AO36" s="37">
        <f t="shared" si="14"/>
        <v>3</v>
      </c>
      <c r="AP36" s="39">
        <f t="shared" si="15"/>
        <v>0</v>
      </c>
      <c r="AQ36" s="57"/>
      <c r="AR36" s="57">
        <v>67420573.590000004</v>
      </c>
      <c r="AS36" s="37">
        <f t="shared" si="16"/>
        <v>0</v>
      </c>
      <c r="AT36" s="39">
        <f t="shared" si="17"/>
        <v>1.264560567983102E-3</v>
      </c>
      <c r="AU36" s="45">
        <f t="shared" si="18"/>
        <v>65377.5</v>
      </c>
      <c r="AV36" s="46">
        <f t="shared" si="19"/>
        <v>51634400</v>
      </c>
      <c r="AW36" s="37">
        <f t="shared" si="20"/>
        <v>0</v>
      </c>
      <c r="AX36" s="39">
        <f t="shared" si="59"/>
        <v>-0.76918161276655839</v>
      </c>
      <c r="AY36" s="66">
        <v>65377</v>
      </c>
      <c r="AZ36" s="37">
        <v>283240</v>
      </c>
      <c r="BA36" s="37">
        <v>2</v>
      </c>
      <c r="BB36" s="37">
        <v>65377.5</v>
      </c>
      <c r="BC36" s="37">
        <v>0</v>
      </c>
      <c r="BD36" s="37">
        <f t="shared" si="21"/>
        <v>1</v>
      </c>
      <c r="BE36" s="39">
        <f t="shared" si="22"/>
        <v>0</v>
      </c>
      <c r="BF36" s="37">
        <v>0</v>
      </c>
      <c r="BG36" s="37">
        <v>0.02</v>
      </c>
      <c r="BH36" s="37">
        <f t="shared" si="23"/>
        <v>1</v>
      </c>
      <c r="BI36" s="37">
        <v>0</v>
      </c>
      <c r="BJ36" s="37">
        <v>5395623.75</v>
      </c>
      <c r="BK36" s="37">
        <f t="shared" si="24"/>
        <v>4</v>
      </c>
      <c r="BL36" s="38">
        <f t="shared" si="25"/>
        <v>0</v>
      </c>
      <c r="BM36" s="37">
        <v>0</v>
      </c>
      <c r="BN36" s="44">
        <v>12833.99</v>
      </c>
      <c r="BO36" s="37">
        <v>0</v>
      </c>
      <c r="BP36" s="44">
        <v>3731.4</v>
      </c>
      <c r="BQ36" s="37">
        <f t="shared" si="49"/>
        <v>0</v>
      </c>
      <c r="BR36" s="39">
        <f t="shared" si="26"/>
        <v>1.1033559523583965</v>
      </c>
      <c r="BS36" s="37">
        <v>19566632</v>
      </c>
      <c r="BT36" s="37">
        <v>24.1</v>
      </c>
      <c r="BU36" s="37">
        <v>12</v>
      </c>
      <c r="BV36" s="37">
        <v>61320</v>
      </c>
      <c r="BW36" s="37">
        <f t="shared" si="48"/>
        <v>0</v>
      </c>
      <c r="BX36" s="39">
        <f t="shared" si="27"/>
        <v>0.80329311671885939</v>
      </c>
      <c r="BY36" s="37">
        <v>41530075</v>
      </c>
      <c r="BZ36" s="66">
        <v>51699777</v>
      </c>
      <c r="CA36" s="48">
        <f t="shared" si="28"/>
        <v>2</v>
      </c>
      <c r="CB36" s="49">
        <f t="shared" si="29"/>
        <v>2</v>
      </c>
      <c r="CC36" s="37">
        <v>2</v>
      </c>
      <c r="CD36" s="37">
        <v>2</v>
      </c>
      <c r="CE36" s="37">
        <v>2</v>
      </c>
      <c r="CF36" s="37">
        <f t="shared" si="30"/>
        <v>3</v>
      </c>
      <c r="CG36" s="39">
        <f t="shared" si="31"/>
        <v>1</v>
      </c>
      <c r="CH36" s="37">
        <v>5</v>
      </c>
      <c r="CI36" s="37">
        <v>5</v>
      </c>
      <c r="CJ36" s="48">
        <f t="shared" si="32"/>
        <v>0</v>
      </c>
      <c r="CK36" s="37">
        <v>1</v>
      </c>
      <c r="CL36" s="37">
        <f t="shared" si="33"/>
        <v>0</v>
      </c>
      <c r="CM36" s="37">
        <v>81</v>
      </c>
      <c r="CN36" s="50">
        <v>88</v>
      </c>
      <c r="CO36" s="48">
        <f t="shared" si="34"/>
        <v>3</v>
      </c>
      <c r="CP36" s="37"/>
      <c r="CQ36" s="48">
        <f t="shared" si="35"/>
        <v>3</v>
      </c>
      <c r="CR36" s="37"/>
      <c r="CS36" s="37"/>
      <c r="CT36" s="37"/>
      <c r="CU36" s="37"/>
      <c r="CV36" s="37">
        <f t="shared" si="36"/>
        <v>5</v>
      </c>
      <c r="CW36" s="37">
        <v>6</v>
      </c>
      <c r="CX36" s="37">
        <v>6</v>
      </c>
      <c r="CY36" s="51">
        <f t="shared" si="37"/>
        <v>4</v>
      </c>
      <c r="CZ36" s="37"/>
      <c r="DA36" s="37">
        <v>23.7</v>
      </c>
      <c r="DB36" s="37">
        <f t="shared" si="38"/>
        <v>4</v>
      </c>
      <c r="DC36" s="39">
        <f t="shared" si="39"/>
        <v>1</v>
      </c>
      <c r="DD36" s="44">
        <v>67485951.079999998</v>
      </c>
      <c r="DE36" s="44">
        <v>67485951.079999998</v>
      </c>
      <c r="DF36" s="37">
        <f t="shared" si="40"/>
        <v>3</v>
      </c>
      <c r="DG36" s="39">
        <f t="shared" si="41"/>
        <v>0</v>
      </c>
      <c r="DH36" s="46">
        <v>0</v>
      </c>
      <c r="DI36" s="11">
        <v>67420573.579999998</v>
      </c>
      <c r="DJ36" s="37">
        <f t="shared" si="60"/>
        <v>3</v>
      </c>
      <c r="DK36" s="37"/>
      <c r="DL36" s="37"/>
      <c r="DM36" s="37">
        <f t="shared" si="42"/>
        <v>5</v>
      </c>
      <c r="DN36" s="52">
        <f t="shared" si="43"/>
        <v>1</v>
      </c>
      <c r="DO36" s="53">
        <v>30</v>
      </c>
      <c r="DP36" s="53">
        <v>30</v>
      </c>
      <c r="DQ36" s="37">
        <f t="shared" si="44"/>
        <v>4</v>
      </c>
      <c r="DR36" s="39">
        <f t="shared" si="45"/>
        <v>1</v>
      </c>
      <c r="DS36" s="58">
        <v>81</v>
      </c>
      <c r="DT36" s="58">
        <v>81</v>
      </c>
      <c r="DU36" s="54">
        <f t="shared" si="46"/>
        <v>62</v>
      </c>
      <c r="DV36" s="55">
        <f t="shared" si="47"/>
        <v>28</v>
      </c>
      <c r="DW36" s="4"/>
    </row>
    <row r="37" spans="1:127" ht="165">
      <c r="A37" s="35">
        <v>39</v>
      </c>
      <c r="B37" s="35">
        <v>57</v>
      </c>
      <c r="C37" s="36" t="s">
        <v>164</v>
      </c>
      <c r="D37" s="36" t="s">
        <v>204</v>
      </c>
      <c r="E37" s="37">
        <f t="shared" si="55"/>
        <v>3</v>
      </c>
      <c r="F37" s="38">
        <f t="shared" si="1"/>
        <v>1</v>
      </c>
      <c r="G37" s="9">
        <v>405772.86</v>
      </c>
      <c r="H37" s="9">
        <v>405772.86</v>
      </c>
      <c r="I37" s="37">
        <f t="shared" si="56"/>
        <v>3</v>
      </c>
      <c r="J37" s="39">
        <f t="shared" si="3"/>
        <v>1</v>
      </c>
      <c r="K37" s="11">
        <v>393354.32</v>
      </c>
      <c r="L37" s="11">
        <v>393354.32</v>
      </c>
      <c r="M37" s="37">
        <f t="shared" ref="M37:M46" si="61">IF(O37/P37&lt;$P$7/100,0,IF(O37/P37&gt;$O$7/100,3,$M$7*(O37/P37-$P$7/100)/(($O$7-$P$7)/100)))</f>
        <v>3</v>
      </c>
      <c r="N37" s="39">
        <f t="shared" si="57"/>
        <v>4.0577285999999999</v>
      </c>
      <c r="O37" s="10">
        <v>405772.86</v>
      </c>
      <c r="P37" s="11">
        <v>100000</v>
      </c>
      <c r="Q37" s="37">
        <f t="shared" si="58"/>
        <v>3</v>
      </c>
      <c r="R37" s="39">
        <f t="shared" si="6"/>
        <v>1</v>
      </c>
      <c r="S37" s="40">
        <f t="shared" si="7"/>
        <v>393354.32</v>
      </c>
      <c r="T37" s="41">
        <v>393354.32</v>
      </c>
      <c r="U37" s="37">
        <f t="shared" si="8"/>
        <v>3</v>
      </c>
      <c r="V37" s="39">
        <f t="shared" si="9"/>
        <v>-0.13991229118954601</v>
      </c>
      <c r="W37" s="40">
        <v>516075.08</v>
      </c>
      <c r="X37" s="8">
        <v>71788.399999999994</v>
      </c>
      <c r="Y37" s="8">
        <v>7699839.6900000004</v>
      </c>
      <c r="Z37" s="8">
        <v>7699839.6900000004</v>
      </c>
      <c r="AA37" s="40">
        <v>0</v>
      </c>
      <c r="AB37" s="40">
        <v>106891200</v>
      </c>
      <c r="AC37" s="37">
        <f t="shared" si="10"/>
        <v>0</v>
      </c>
      <c r="AD37" s="38">
        <f t="shared" si="11"/>
        <v>18.509721811640102</v>
      </c>
      <c r="AE37" s="9">
        <v>13502582</v>
      </c>
      <c r="AF37" s="9">
        <v>729485.95</v>
      </c>
      <c r="AG37" s="37">
        <f t="shared" si="12"/>
        <v>0</v>
      </c>
      <c r="AH37" s="42">
        <f t="shared" si="13"/>
        <v>0</v>
      </c>
      <c r="AI37" s="43">
        <v>14</v>
      </c>
      <c r="AJ37" s="43">
        <v>18</v>
      </c>
      <c r="AK37" s="44"/>
      <c r="AL37" s="43"/>
      <c r="AM37" s="44"/>
      <c r="AN37" s="44"/>
      <c r="AO37" s="37">
        <f t="shared" si="14"/>
        <v>2.8434538347514211</v>
      </c>
      <c r="AP37" s="39">
        <f t="shared" si="15"/>
        <v>5.2182055082859578E-2</v>
      </c>
      <c r="AQ37" s="9">
        <v>6002582</v>
      </c>
      <c r="AR37" s="9">
        <v>115031537</v>
      </c>
      <c r="AS37" s="37">
        <f t="shared" si="16"/>
        <v>0</v>
      </c>
      <c r="AT37" s="39">
        <f t="shared" si="17"/>
        <v>3.7817736063201737E-3</v>
      </c>
      <c r="AU37" s="45">
        <f t="shared" si="18"/>
        <v>405772.86</v>
      </c>
      <c r="AV37" s="46">
        <f t="shared" si="19"/>
        <v>106891200</v>
      </c>
      <c r="AW37" s="37">
        <f t="shared" si="20"/>
        <v>2</v>
      </c>
      <c r="AX37" s="39">
        <f t="shared" si="59"/>
        <v>0.28265313399229064</v>
      </c>
      <c r="AY37" s="47">
        <v>405772.86</v>
      </c>
      <c r="AZ37" s="44">
        <v>316354.32</v>
      </c>
      <c r="BA37" s="44">
        <v>2</v>
      </c>
      <c r="BB37" s="44">
        <v>405772.86</v>
      </c>
      <c r="BC37" s="37">
        <v>0</v>
      </c>
      <c r="BD37" s="37">
        <f t="shared" si="21"/>
        <v>1</v>
      </c>
      <c r="BE37" s="39">
        <f t="shared" si="22"/>
        <v>0</v>
      </c>
      <c r="BF37" s="37">
        <v>0</v>
      </c>
      <c r="BG37" s="44">
        <v>25228872.66</v>
      </c>
      <c r="BH37" s="37">
        <f t="shared" si="23"/>
        <v>1</v>
      </c>
      <c r="BI37" s="37">
        <v>0</v>
      </c>
      <c r="BJ37" s="44">
        <v>8745782.6400000006</v>
      </c>
      <c r="BK37" s="37">
        <f t="shared" si="24"/>
        <v>4</v>
      </c>
      <c r="BL37" s="38">
        <f t="shared" si="25"/>
        <v>0</v>
      </c>
      <c r="BM37" s="37">
        <v>0</v>
      </c>
      <c r="BN37" s="44">
        <v>60749</v>
      </c>
      <c r="BO37" s="37">
        <v>0</v>
      </c>
      <c r="BP37" s="44">
        <v>4908.01</v>
      </c>
      <c r="BQ37" s="37">
        <f t="shared" si="49"/>
        <v>0</v>
      </c>
      <c r="BR37" s="39">
        <f t="shared" si="26"/>
        <v>1.2964550961897907</v>
      </c>
      <c r="BS37" s="44">
        <v>38731730.829999998</v>
      </c>
      <c r="BT37" s="44">
        <v>40.6</v>
      </c>
      <c r="BU37" s="44">
        <v>12</v>
      </c>
      <c r="BV37" s="44">
        <v>61320</v>
      </c>
      <c r="BW37" s="37">
        <f t="shared" si="48"/>
        <v>2</v>
      </c>
      <c r="BX37" s="39">
        <f t="shared" si="27"/>
        <v>0.78559562402551075</v>
      </c>
      <c r="BY37" s="44">
        <v>84292032.349999994</v>
      </c>
      <c r="BZ37" s="47">
        <v>107296972.86</v>
      </c>
      <c r="CA37" s="48">
        <f t="shared" si="28"/>
        <v>2</v>
      </c>
      <c r="CB37" s="49">
        <f t="shared" si="29"/>
        <v>2</v>
      </c>
      <c r="CC37" s="44">
        <v>3</v>
      </c>
      <c r="CD37" s="44">
        <v>3</v>
      </c>
      <c r="CE37" s="44">
        <v>3</v>
      </c>
      <c r="CF37" s="37">
        <f t="shared" si="30"/>
        <v>3</v>
      </c>
      <c r="CG37" s="39">
        <f t="shared" si="31"/>
        <v>1</v>
      </c>
      <c r="CH37" s="44">
        <v>50</v>
      </c>
      <c r="CI37" s="44">
        <v>50</v>
      </c>
      <c r="CJ37" s="48">
        <f t="shared" si="32"/>
        <v>0</v>
      </c>
      <c r="CK37" s="44">
        <v>1</v>
      </c>
      <c r="CL37" s="37">
        <f t="shared" si="33"/>
        <v>0</v>
      </c>
      <c r="CM37" s="44">
        <v>68</v>
      </c>
      <c r="CN37" s="50">
        <v>88</v>
      </c>
      <c r="CO37" s="48">
        <f t="shared" si="34"/>
        <v>0</v>
      </c>
      <c r="CP37" s="44">
        <v>5</v>
      </c>
      <c r="CQ37" s="48">
        <f t="shared" si="35"/>
        <v>3</v>
      </c>
      <c r="CR37" s="44"/>
      <c r="CS37" s="37"/>
      <c r="CT37" s="44"/>
      <c r="CU37" s="44"/>
      <c r="CV37" s="37">
        <f t="shared" si="36"/>
        <v>5</v>
      </c>
      <c r="CW37" s="44">
        <v>6</v>
      </c>
      <c r="CX37" s="44">
        <v>6</v>
      </c>
      <c r="CY37" s="51">
        <f t="shared" si="37"/>
        <v>0</v>
      </c>
      <c r="CZ37" s="44">
        <v>2</v>
      </c>
      <c r="DA37" s="44">
        <v>19.34</v>
      </c>
      <c r="DB37" s="37">
        <f t="shared" si="38"/>
        <v>4</v>
      </c>
      <c r="DC37" s="39">
        <f t="shared" si="39"/>
        <v>1</v>
      </c>
      <c r="DD37" s="44">
        <v>107151763.91</v>
      </c>
      <c r="DE37" s="44">
        <v>107151763.91</v>
      </c>
      <c r="DF37" s="37">
        <f t="shared" si="40"/>
        <v>3</v>
      </c>
      <c r="DG37" s="39">
        <f t="shared" si="41"/>
        <v>0</v>
      </c>
      <c r="DH37" s="46">
        <v>0</v>
      </c>
      <c r="DI37" s="11">
        <v>106758409.59</v>
      </c>
      <c r="DJ37" s="37">
        <f t="shared" si="60"/>
        <v>3</v>
      </c>
      <c r="DK37" s="44"/>
      <c r="DL37" s="44"/>
      <c r="DM37" s="37">
        <f t="shared" si="42"/>
        <v>5</v>
      </c>
      <c r="DN37" s="52">
        <f t="shared" si="43"/>
        <v>1</v>
      </c>
      <c r="DO37" s="53">
        <v>37</v>
      </c>
      <c r="DP37" s="53">
        <v>37</v>
      </c>
      <c r="DQ37" s="37">
        <f t="shared" si="44"/>
        <v>4</v>
      </c>
      <c r="DR37" s="39">
        <f t="shared" si="45"/>
        <v>1</v>
      </c>
      <c r="DS37" s="53">
        <v>81</v>
      </c>
      <c r="DT37" s="53">
        <v>81</v>
      </c>
      <c r="DU37" s="54">
        <f t="shared" si="46"/>
        <v>61.843453834751422</v>
      </c>
      <c r="DV37" s="55">
        <f t="shared" si="47"/>
        <v>29</v>
      </c>
      <c r="DW37" s="4"/>
    </row>
    <row r="38" spans="1:127" ht="135">
      <c r="A38" s="35">
        <v>18</v>
      </c>
      <c r="B38" s="35">
        <v>14</v>
      </c>
      <c r="C38" s="56" t="s">
        <v>164</v>
      </c>
      <c r="D38" s="56" t="s">
        <v>181</v>
      </c>
      <c r="E38" s="37">
        <f t="shared" si="55"/>
        <v>0</v>
      </c>
      <c r="F38" s="38">
        <f t="shared" si="1"/>
        <v>1.3329089022977461</v>
      </c>
      <c r="G38" s="57">
        <v>7636647.3300000001</v>
      </c>
      <c r="H38" s="57">
        <v>5729309.2699999996</v>
      </c>
      <c r="I38" s="37">
        <f t="shared" si="56"/>
        <v>0</v>
      </c>
      <c r="J38" s="39">
        <f t="shared" si="3"/>
        <v>0.80104562003666013</v>
      </c>
      <c r="K38" s="46">
        <v>6144705.04</v>
      </c>
      <c r="L38" s="46">
        <v>7670855.2999999998</v>
      </c>
      <c r="M38" s="37">
        <f t="shared" si="61"/>
        <v>3</v>
      </c>
      <c r="N38" s="39">
        <f t="shared" si="57"/>
        <v>1.2121118585242223</v>
      </c>
      <c r="O38" s="45">
        <v>7508669.3300000001</v>
      </c>
      <c r="P38" s="46">
        <v>6194700</v>
      </c>
      <c r="Q38" s="37">
        <f t="shared" si="58"/>
        <v>0.765684300549902</v>
      </c>
      <c r="R38" s="39">
        <f t="shared" si="6"/>
        <v>0.80104562003666013</v>
      </c>
      <c r="S38" s="40">
        <f t="shared" si="7"/>
        <v>6144705.04</v>
      </c>
      <c r="T38" s="41">
        <v>7670855.2999999998</v>
      </c>
      <c r="U38" s="37">
        <f t="shared" si="8"/>
        <v>3</v>
      </c>
      <c r="V38" s="39">
        <f t="shared" si="9"/>
        <v>-0.14359562533119666</v>
      </c>
      <c r="W38" s="65">
        <v>2361</v>
      </c>
      <c r="X38" s="8">
        <v>0</v>
      </c>
      <c r="Y38" s="8">
        <v>4980203.79</v>
      </c>
      <c r="Z38" s="8">
        <v>1769528.97</v>
      </c>
      <c r="AA38" s="40">
        <v>0</v>
      </c>
      <c r="AB38" s="40">
        <v>46988700</v>
      </c>
      <c r="AC38" s="37">
        <f t="shared" si="10"/>
        <v>3</v>
      </c>
      <c r="AD38" s="38">
        <f t="shared" si="11"/>
        <v>1.0863096633824817E-3</v>
      </c>
      <c r="AE38" s="57">
        <v>10828</v>
      </c>
      <c r="AF38" s="57">
        <v>9967691.870000001</v>
      </c>
      <c r="AG38" s="37">
        <f t="shared" si="12"/>
        <v>0</v>
      </c>
      <c r="AH38" s="42">
        <f t="shared" si="13"/>
        <v>13</v>
      </c>
      <c r="AI38" s="42">
        <v>25</v>
      </c>
      <c r="AJ38" s="42">
        <v>16</v>
      </c>
      <c r="AK38" s="37"/>
      <c r="AL38" s="42"/>
      <c r="AM38" s="37"/>
      <c r="AN38" s="37"/>
      <c r="AO38" s="37">
        <f t="shared" si="14"/>
        <v>2.9995081262892747</v>
      </c>
      <c r="AP38" s="39">
        <f t="shared" si="15"/>
        <v>1.6395790357506983E-4</v>
      </c>
      <c r="AQ38" s="57">
        <v>10828</v>
      </c>
      <c r="AR38" s="57">
        <v>66041342.100000001</v>
      </c>
      <c r="AS38" s="37">
        <f t="shared" si="16"/>
        <v>0</v>
      </c>
      <c r="AT38" s="39">
        <f t="shared" si="17"/>
        <v>0.13778039972044281</v>
      </c>
      <c r="AU38" s="45">
        <f t="shared" si="18"/>
        <v>7508669.3300000001</v>
      </c>
      <c r="AV38" s="46">
        <f t="shared" si="19"/>
        <v>46988700</v>
      </c>
      <c r="AW38" s="37">
        <f t="shared" si="20"/>
        <v>2</v>
      </c>
      <c r="AX38" s="39">
        <f t="shared" si="59"/>
        <v>0.35179583516567736</v>
      </c>
      <c r="AY38" s="45">
        <f>AU38</f>
        <v>7508669.3300000001</v>
      </c>
      <c r="AZ38" s="46">
        <v>5554588.2999999998</v>
      </c>
      <c r="BA38" s="37">
        <v>2</v>
      </c>
      <c r="BB38" s="46">
        <f>AY38</f>
        <v>7508669.3300000001</v>
      </c>
      <c r="BC38" s="46">
        <v>0</v>
      </c>
      <c r="BD38" s="37">
        <f t="shared" si="21"/>
        <v>1</v>
      </c>
      <c r="BE38" s="39">
        <f t="shared" si="22"/>
        <v>0</v>
      </c>
      <c r="BF38" s="37">
        <v>0</v>
      </c>
      <c r="BG38" s="46">
        <v>276213.15999999997</v>
      </c>
      <c r="BH38" s="37">
        <f t="shared" si="23"/>
        <v>1</v>
      </c>
      <c r="BI38" s="37">
        <v>0</v>
      </c>
      <c r="BJ38" s="46">
        <v>3610465.33</v>
      </c>
      <c r="BK38" s="37">
        <f t="shared" si="24"/>
        <v>4</v>
      </c>
      <c r="BL38" s="38">
        <f t="shared" si="25"/>
        <v>0</v>
      </c>
      <c r="BM38" s="46">
        <v>0</v>
      </c>
      <c r="BN38" s="46">
        <v>46764.29</v>
      </c>
      <c r="BO38" s="46">
        <v>0</v>
      </c>
      <c r="BP38" s="46">
        <v>2273.5500000000002</v>
      </c>
      <c r="BQ38" s="37">
        <f t="shared" si="49"/>
        <v>0</v>
      </c>
      <c r="BR38" s="39">
        <f t="shared" si="26"/>
        <v>1.0512321593239469</v>
      </c>
      <c r="BS38" s="37">
        <v>12220700</v>
      </c>
      <c r="BT38" s="37">
        <v>15.6</v>
      </c>
      <c r="BU38" s="37">
        <v>12</v>
      </c>
      <c r="BV38" s="63">
        <v>62100</v>
      </c>
      <c r="BW38" s="37">
        <f t="shared" si="48"/>
        <v>0</v>
      </c>
      <c r="BX38" s="39">
        <f t="shared" si="27"/>
        <v>0.67515661861030973</v>
      </c>
      <c r="BY38" s="46">
        <f>28259.8*1000*1.302</f>
        <v>36794259.600000001</v>
      </c>
      <c r="BZ38" s="45">
        <v>54497369.329999998</v>
      </c>
      <c r="CA38" s="48">
        <f t="shared" si="28"/>
        <v>2</v>
      </c>
      <c r="CB38" s="49">
        <f t="shared" si="29"/>
        <v>1.5</v>
      </c>
      <c r="CC38" s="37">
        <v>4</v>
      </c>
      <c r="CD38" s="37">
        <v>2</v>
      </c>
      <c r="CE38" s="37">
        <v>4</v>
      </c>
      <c r="CF38" s="37">
        <f t="shared" si="30"/>
        <v>3</v>
      </c>
      <c r="CG38" s="39">
        <f t="shared" si="31"/>
        <v>1</v>
      </c>
      <c r="CH38" s="37">
        <v>3</v>
      </c>
      <c r="CI38" s="37">
        <v>3</v>
      </c>
      <c r="CJ38" s="48">
        <f t="shared" si="32"/>
        <v>0</v>
      </c>
      <c r="CK38" s="37">
        <v>1</v>
      </c>
      <c r="CL38" s="37">
        <f t="shared" si="33"/>
        <v>0</v>
      </c>
      <c r="CM38" s="50">
        <v>79</v>
      </c>
      <c r="CN38" s="50">
        <v>88</v>
      </c>
      <c r="CO38" s="48">
        <f t="shared" si="34"/>
        <v>3</v>
      </c>
      <c r="CP38" s="37"/>
      <c r="CQ38" s="48">
        <f t="shared" si="35"/>
        <v>3</v>
      </c>
      <c r="CR38" s="37"/>
      <c r="CS38" s="37"/>
      <c r="CT38" s="37"/>
      <c r="CU38" s="37"/>
      <c r="CV38" s="37">
        <f t="shared" si="36"/>
        <v>5</v>
      </c>
      <c r="CW38" s="37">
        <v>6</v>
      </c>
      <c r="CX38" s="37">
        <v>6</v>
      </c>
      <c r="CY38" s="51">
        <f t="shared" si="37"/>
        <v>4</v>
      </c>
      <c r="CZ38" s="37"/>
      <c r="DA38" s="37">
        <v>145.6</v>
      </c>
      <c r="DB38" s="37">
        <f t="shared" si="38"/>
        <v>4</v>
      </c>
      <c r="DC38" s="39">
        <f t="shared" si="39"/>
        <v>1</v>
      </c>
      <c r="DD38" s="46">
        <v>72185051.680000007</v>
      </c>
      <c r="DE38" s="46">
        <v>72185051.680000007</v>
      </c>
      <c r="DF38" s="37">
        <f t="shared" si="40"/>
        <v>3</v>
      </c>
      <c r="DG38" s="39">
        <f t="shared" si="41"/>
        <v>0</v>
      </c>
      <c r="DH38" s="46">
        <v>0</v>
      </c>
      <c r="DI38" s="46">
        <v>66040346.640000001</v>
      </c>
      <c r="DJ38" s="37">
        <f t="shared" si="60"/>
        <v>3</v>
      </c>
      <c r="DK38" s="37"/>
      <c r="DL38" s="37"/>
      <c r="DM38" s="37">
        <f t="shared" si="42"/>
        <v>5</v>
      </c>
      <c r="DN38" s="52">
        <f t="shared" si="43"/>
        <v>1</v>
      </c>
      <c r="DO38" s="64">
        <v>14</v>
      </c>
      <c r="DP38" s="64">
        <v>14</v>
      </c>
      <c r="DQ38" s="37">
        <f t="shared" si="44"/>
        <v>4</v>
      </c>
      <c r="DR38" s="39">
        <f t="shared" si="45"/>
        <v>1</v>
      </c>
      <c r="DS38" s="64">
        <v>42</v>
      </c>
      <c r="DT38" s="64">
        <v>42</v>
      </c>
      <c r="DU38" s="54">
        <f t="shared" si="46"/>
        <v>61.765192426839178</v>
      </c>
      <c r="DV38" s="55">
        <f t="shared" si="47"/>
        <v>30</v>
      </c>
      <c r="DW38" s="4"/>
    </row>
    <row r="39" spans="1:127" ht="135">
      <c r="A39" s="35">
        <v>11</v>
      </c>
      <c r="B39" s="35">
        <v>28</v>
      </c>
      <c r="C39" s="56" t="s">
        <v>164</v>
      </c>
      <c r="D39" s="56" t="s">
        <v>174</v>
      </c>
      <c r="E39" s="37">
        <f t="shared" si="55"/>
        <v>0</v>
      </c>
      <c r="F39" s="38">
        <f t="shared" si="1"/>
        <v>1.0044373066504833</v>
      </c>
      <c r="G39" s="57">
        <v>2035763.4</v>
      </c>
      <c r="H39" s="57">
        <v>2026770</v>
      </c>
      <c r="I39" s="37">
        <f t="shared" si="56"/>
        <v>0.50216254256265913</v>
      </c>
      <c r="J39" s="39">
        <f t="shared" si="3"/>
        <v>0.91339100113500427</v>
      </c>
      <c r="K39" s="46">
        <v>1859447.97</v>
      </c>
      <c r="L39" s="46">
        <v>2035763.4</v>
      </c>
      <c r="M39" s="37">
        <f t="shared" si="61"/>
        <v>1.9035325419263172</v>
      </c>
      <c r="N39" s="39">
        <f t="shared" si="57"/>
        <v>0.87690216946175448</v>
      </c>
      <c r="O39" s="45">
        <v>1777279.01</v>
      </c>
      <c r="P39" s="46">
        <v>2026770</v>
      </c>
      <c r="Q39" s="37">
        <f t="shared" si="58"/>
        <v>2.6958597749999993</v>
      </c>
      <c r="R39" s="39">
        <f t="shared" si="6"/>
        <v>0.92972398499999998</v>
      </c>
      <c r="S39" s="40">
        <f t="shared" si="7"/>
        <v>1859447.97</v>
      </c>
      <c r="T39" s="41">
        <v>2000000</v>
      </c>
      <c r="U39" s="37">
        <f t="shared" si="8"/>
        <v>3</v>
      </c>
      <c r="V39" s="39">
        <f t="shared" si="9"/>
        <v>-0.12239694727479283</v>
      </c>
      <c r="W39" s="40">
        <v>3351.95</v>
      </c>
      <c r="X39" s="8">
        <v>3351.95</v>
      </c>
      <c r="Y39" s="8">
        <v>4000333.24</v>
      </c>
      <c r="Z39" s="8">
        <v>2948814.64</v>
      </c>
      <c r="AA39" s="40">
        <v>0</v>
      </c>
      <c r="AB39" s="40">
        <v>56775500</v>
      </c>
      <c r="AC39" s="37">
        <f t="shared" si="10"/>
        <v>0</v>
      </c>
      <c r="AD39" s="38">
        <f t="shared" si="11"/>
        <v>2.110463999439173</v>
      </c>
      <c r="AE39" s="57">
        <v>11781901.48</v>
      </c>
      <c r="AF39" s="57">
        <v>5582611.9199999999</v>
      </c>
      <c r="AG39" s="37">
        <f t="shared" si="12"/>
        <v>0</v>
      </c>
      <c r="AH39" s="42">
        <f t="shared" si="13"/>
        <v>12</v>
      </c>
      <c r="AI39" s="42">
        <v>30</v>
      </c>
      <c r="AJ39" s="42">
        <v>22</v>
      </c>
      <c r="AK39" s="37"/>
      <c r="AL39" s="42"/>
      <c r="AM39" s="37"/>
      <c r="AN39" s="37"/>
      <c r="AO39" s="37">
        <f t="shared" si="14"/>
        <v>2.6001902076209928</v>
      </c>
      <c r="AP39" s="39">
        <f t="shared" si="15"/>
        <v>0.13326993079300228</v>
      </c>
      <c r="AQ39" s="57">
        <v>11781901.48</v>
      </c>
      <c r="AR39" s="57">
        <v>88406299.980000004</v>
      </c>
      <c r="AS39" s="37">
        <f t="shared" si="16"/>
        <v>0</v>
      </c>
      <c r="AT39" s="39">
        <f t="shared" si="17"/>
        <v>3.0353452731875723E-2</v>
      </c>
      <c r="AU39" s="45">
        <f t="shared" si="18"/>
        <v>1777279.01</v>
      </c>
      <c r="AV39" s="46">
        <f t="shared" si="19"/>
        <v>56775500</v>
      </c>
      <c r="AW39" s="37">
        <f t="shared" si="20"/>
        <v>0</v>
      </c>
      <c r="AX39" s="39">
        <f t="shared" si="59"/>
        <v>-2.2783951557575288E-2</v>
      </c>
      <c r="AY39" s="45">
        <f>AU39</f>
        <v>1777279.01</v>
      </c>
      <c r="AZ39" s="46">
        <v>1818716.56</v>
      </c>
      <c r="BA39" s="37">
        <v>2</v>
      </c>
      <c r="BB39" s="46">
        <f>AY39</f>
        <v>1777279.01</v>
      </c>
      <c r="BC39" s="46">
        <v>0</v>
      </c>
      <c r="BD39" s="37">
        <f t="shared" si="21"/>
        <v>1</v>
      </c>
      <c r="BE39" s="39">
        <f t="shared" si="22"/>
        <v>0</v>
      </c>
      <c r="BF39" s="37">
        <v>0</v>
      </c>
      <c r="BG39" s="46">
        <v>1283655.04</v>
      </c>
      <c r="BH39" s="37">
        <f t="shared" si="23"/>
        <v>1</v>
      </c>
      <c r="BI39" s="37">
        <v>0</v>
      </c>
      <c r="BJ39" s="46">
        <v>1943524.11</v>
      </c>
      <c r="BK39" s="37">
        <f t="shared" si="24"/>
        <v>4</v>
      </c>
      <c r="BL39" s="38">
        <f t="shared" si="25"/>
        <v>0</v>
      </c>
      <c r="BM39" s="46">
        <v>0</v>
      </c>
      <c r="BN39" s="46">
        <v>33123.32</v>
      </c>
      <c r="BO39" s="46">
        <v>0</v>
      </c>
      <c r="BP39" s="46">
        <v>2129.09</v>
      </c>
      <c r="BQ39" s="37">
        <f t="shared" si="49"/>
        <v>2</v>
      </c>
      <c r="BR39" s="39">
        <f t="shared" si="26"/>
        <v>1.031497005672908</v>
      </c>
      <c r="BS39" s="37">
        <v>15680900</v>
      </c>
      <c r="BT39" s="37">
        <v>20.399999999999999</v>
      </c>
      <c r="BU39" s="37">
        <v>12</v>
      </c>
      <c r="BV39" s="63">
        <v>62100</v>
      </c>
      <c r="BW39" s="37">
        <f t="shared" si="48"/>
        <v>2</v>
      </c>
      <c r="BX39" s="39">
        <f t="shared" si="27"/>
        <v>0.77877029187995161</v>
      </c>
      <c r="BY39" s="46">
        <f>35022.4*1000*1.302</f>
        <v>45599164.800000004</v>
      </c>
      <c r="BZ39" s="45">
        <v>58552779.009999998</v>
      </c>
      <c r="CA39" s="48">
        <f t="shared" si="28"/>
        <v>2</v>
      </c>
      <c r="CB39" s="49">
        <f t="shared" si="29"/>
        <v>2</v>
      </c>
      <c r="CC39" s="37">
        <v>4</v>
      </c>
      <c r="CD39" s="37">
        <v>4</v>
      </c>
      <c r="CE39" s="37">
        <v>4</v>
      </c>
      <c r="CF39" s="37">
        <f t="shared" si="30"/>
        <v>3</v>
      </c>
      <c r="CG39" s="39">
        <f t="shared" si="31"/>
        <v>1</v>
      </c>
      <c r="CH39" s="37">
        <v>2</v>
      </c>
      <c r="CI39" s="37">
        <v>2</v>
      </c>
      <c r="CJ39" s="48">
        <f t="shared" si="32"/>
        <v>0</v>
      </c>
      <c r="CK39" s="37">
        <v>1</v>
      </c>
      <c r="CL39" s="37">
        <f t="shared" si="33"/>
        <v>0</v>
      </c>
      <c r="CM39" s="50">
        <v>83</v>
      </c>
      <c r="CN39" s="50">
        <v>88</v>
      </c>
      <c r="CO39" s="48">
        <f t="shared" si="34"/>
        <v>3</v>
      </c>
      <c r="CP39" s="37"/>
      <c r="CQ39" s="48">
        <f t="shared" si="35"/>
        <v>3</v>
      </c>
      <c r="CR39" s="37"/>
      <c r="CS39" s="37"/>
      <c r="CT39" s="37"/>
      <c r="CU39" s="37"/>
      <c r="CV39" s="37">
        <f t="shared" si="36"/>
        <v>5</v>
      </c>
      <c r="CW39" s="37">
        <v>6</v>
      </c>
      <c r="CX39" s="37">
        <v>6</v>
      </c>
      <c r="CY39" s="51">
        <f t="shared" si="37"/>
        <v>4</v>
      </c>
      <c r="CZ39" s="37"/>
      <c r="DA39" s="37">
        <v>63.7</v>
      </c>
      <c r="DB39" s="37">
        <f t="shared" si="38"/>
        <v>4</v>
      </c>
      <c r="DC39" s="39">
        <f t="shared" si="39"/>
        <v>1</v>
      </c>
      <c r="DD39" s="46">
        <v>78480494.519999996</v>
      </c>
      <c r="DE39" s="46">
        <v>78480494.519999996</v>
      </c>
      <c r="DF39" s="37">
        <f t="shared" si="40"/>
        <v>3</v>
      </c>
      <c r="DG39" s="39">
        <f t="shared" si="41"/>
        <v>0</v>
      </c>
      <c r="DH39" s="46">
        <v>0</v>
      </c>
      <c r="DI39" s="46">
        <v>76621046.549999997</v>
      </c>
      <c r="DJ39" s="37">
        <f t="shared" si="60"/>
        <v>3</v>
      </c>
      <c r="DK39" s="37"/>
      <c r="DL39" s="37"/>
      <c r="DM39" s="37">
        <f t="shared" si="42"/>
        <v>5</v>
      </c>
      <c r="DN39" s="52">
        <f t="shared" si="43"/>
        <v>1</v>
      </c>
      <c r="DO39" s="64">
        <v>9</v>
      </c>
      <c r="DP39" s="64">
        <v>9</v>
      </c>
      <c r="DQ39" s="37">
        <f t="shared" si="44"/>
        <v>4</v>
      </c>
      <c r="DR39" s="39">
        <f t="shared" si="45"/>
        <v>1</v>
      </c>
      <c r="DS39" s="64">
        <v>54</v>
      </c>
      <c r="DT39" s="64">
        <v>54</v>
      </c>
      <c r="DU39" s="54">
        <f t="shared" si="46"/>
        <v>61.701745067109968</v>
      </c>
      <c r="DV39" s="55">
        <f t="shared" si="47"/>
        <v>31</v>
      </c>
      <c r="DW39" s="4"/>
    </row>
    <row r="40" spans="1:127" ht="135">
      <c r="A40" s="35">
        <v>10</v>
      </c>
      <c r="B40" s="35">
        <v>7</v>
      </c>
      <c r="C40" s="56" t="s">
        <v>161</v>
      </c>
      <c r="D40" s="56" t="s">
        <v>173</v>
      </c>
      <c r="E40" s="37">
        <f t="shared" si="55"/>
        <v>0</v>
      </c>
      <c r="F40" s="38">
        <f t="shared" si="1"/>
        <v>1.3086019233497768</v>
      </c>
      <c r="G40" s="57">
        <v>14179508.199999999</v>
      </c>
      <c r="H40" s="57">
        <v>10835616.199999999</v>
      </c>
      <c r="I40" s="37">
        <f t="shared" si="56"/>
        <v>0</v>
      </c>
      <c r="J40" s="39">
        <f t="shared" si="3"/>
        <v>0.80406985092458072</v>
      </c>
      <c r="K40" s="46">
        <v>13174534.869999999</v>
      </c>
      <c r="L40" s="46">
        <v>16384813.9</v>
      </c>
      <c r="M40" s="37">
        <f t="shared" si="61"/>
        <v>3</v>
      </c>
      <c r="N40" s="39">
        <f t="shared" si="57"/>
        <v>1.2372259618780561</v>
      </c>
      <c r="O40" s="45">
        <v>14441604.789999999</v>
      </c>
      <c r="P40" s="46">
        <v>11672568.5</v>
      </c>
      <c r="Q40" s="37">
        <f t="shared" si="58"/>
        <v>0.8110477638687108</v>
      </c>
      <c r="R40" s="39">
        <f t="shared" si="6"/>
        <v>0.80406985092458072</v>
      </c>
      <c r="S40" s="40">
        <f t="shared" si="7"/>
        <v>13174534.869999999</v>
      </c>
      <c r="T40" s="41">
        <v>16384813.9</v>
      </c>
      <c r="U40" s="37">
        <f t="shared" si="8"/>
        <v>3</v>
      </c>
      <c r="V40" s="39">
        <f t="shared" si="9"/>
        <v>-0.19479784314211507</v>
      </c>
      <c r="W40" s="40">
        <v>0</v>
      </c>
      <c r="X40" s="8">
        <v>0</v>
      </c>
      <c r="Y40" s="8">
        <v>8723400</v>
      </c>
      <c r="Z40" s="8">
        <v>8723400</v>
      </c>
      <c r="AA40" s="40">
        <v>0</v>
      </c>
      <c r="AB40" s="40">
        <v>89563620</v>
      </c>
      <c r="AC40" s="37">
        <f t="shared" si="10"/>
        <v>0</v>
      </c>
      <c r="AD40" s="38">
        <f t="shared" si="11"/>
        <v>0.12669356818396599</v>
      </c>
      <c r="AE40" s="57">
        <v>1814803.88</v>
      </c>
      <c r="AF40" s="57">
        <v>14324356.840000004</v>
      </c>
      <c r="AG40" s="37">
        <f t="shared" si="12"/>
        <v>0</v>
      </c>
      <c r="AH40" s="42">
        <f t="shared" si="13"/>
        <v>15</v>
      </c>
      <c r="AI40" s="42">
        <v>24</v>
      </c>
      <c r="AJ40" s="42">
        <v>13</v>
      </c>
      <c r="AK40" s="37"/>
      <c r="AL40" s="42"/>
      <c r="AM40" s="37"/>
      <c r="AN40" s="37"/>
      <c r="AO40" s="37">
        <f t="shared" si="14"/>
        <v>2.9598713932675045</v>
      </c>
      <c r="AP40" s="39">
        <f t="shared" si="15"/>
        <v>1.3376202244165187E-2</v>
      </c>
      <c r="AQ40" s="57">
        <v>1814803.88</v>
      </c>
      <c r="AR40" s="57">
        <v>135674076.00999999</v>
      </c>
      <c r="AS40" s="37">
        <f t="shared" si="16"/>
        <v>0</v>
      </c>
      <c r="AT40" s="39">
        <f t="shared" si="17"/>
        <v>0.13885460869066404</v>
      </c>
      <c r="AU40" s="45">
        <f t="shared" si="18"/>
        <v>14441604.789999999</v>
      </c>
      <c r="AV40" s="46">
        <f t="shared" si="19"/>
        <v>89563620</v>
      </c>
      <c r="AW40" s="37">
        <f t="shared" si="20"/>
        <v>0.56074299762616064</v>
      </c>
      <c r="AX40" s="39">
        <f t="shared" si="59"/>
        <v>7.0092874703270081E-2</v>
      </c>
      <c r="AY40" s="45">
        <f>AU40</f>
        <v>14441604.789999999</v>
      </c>
      <c r="AZ40" s="46">
        <v>13495655.5</v>
      </c>
      <c r="BA40" s="37">
        <v>2</v>
      </c>
      <c r="BB40" s="46">
        <f>AY40</f>
        <v>14441604.789999999</v>
      </c>
      <c r="BC40" s="46">
        <v>0</v>
      </c>
      <c r="BD40" s="37">
        <f t="shared" si="21"/>
        <v>1</v>
      </c>
      <c r="BE40" s="39">
        <f t="shared" si="22"/>
        <v>0</v>
      </c>
      <c r="BF40" s="37">
        <v>0</v>
      </c>
      <c r="BG40" s="46">
        <v>1436358.69</v>
      </c>
      <c r="BH40" s="37">
        <f t="shared" si="23"/>
        <v>1</v>
      </c>
      <c r="BI40" s="37">
        <v>0</v>
      </c>
      <c r="BJ40" s="46">
        <v>32934098.370000001</v>
      </c>
      <c r="BK40" s="37">
        <f t="shared" si="24"/>
        <v>4</v>
      </c>
      <c r="BL40" s="38">
        <f t="shared" si="25"/>
        <v>0</v>
      </c>
      <c r="BM40" s="46">
        <v>0</v>
      </c>
      <c r="BN40" s="46">
        <v>154229.81</v>
      </c>
      <c r="BO40" s="46">
        <v>0</v>
      </c>
      <c r="BP40" s="46">
        <v>15172.16</v>
      </c>
      <c r="BQ40" s="37">
        <f t="shared" si="49"/>
        <v>2</v>
      </c>
      <c r="BR40" s="39">
        <f t="shared" si="26"/>
        <v>0.95221656041588543</v>
      </c>
      <c r="BS40" s="37">
        <v>25900100</v>
      </c>
      <c r="BT40" s="37">
        <v>36.5</v>
      </c>
      <c r="BU40" s="37">
        <v>12</v>
      </c>
      <c r="BV40" s="63">
        <v>62100</v>
      </c>
      <c r="BW40" s="37">
        <f t="shared" si="48"/>
        <v>2</v>
      </c>
      <c r="BX40" s="39">
        <f t="shared" si="27"/>
        <v>0.72605887783495837</v>
      </c>
      <c r="BY40" s="46">
        <f>57998.4*1000*1.302</f>
        <v>75513916.799999997</v>
      </c>
      <c r="BZ40" s="45">
        <v>104005224.79000001</v>
      </c>
      <c r="CA40" s="48">
        <f t="shared" si="28"/>
        <v>2</v>
      </c>
      <c r="CB40" s="49">
        <f t="shared" si="29"/>
        <v>1.3333333333333333</v>
      </c>
      <c r="CC40" s="37">
        <v>4</v>
      </c>
      <c r="CD40" s="37">
        <v>4</v>
      </c>
      <c r="CE40" s="37">
        <v>6</v>
      </c>
      <c r="CF40" s="37">
        <f t="shared" si="30"/>
        <v>3</v>
      </c>
      <c r="CG40" s="39">
        <f t="shared" si="31"/>
        <v>1</v>
      </c>
      <c r="CH40" s="37">
        <v>2</v>
      </c>
      <c r="CI40" s="37">
        <v>2</v>
      </c>
      <c r="CJ40" s="48">
        <f t="shared" si="32"/>
        <v>0</v>
      </c>
      <c r="CK40" s="37">
        <v>1</v>
      </c>
      <c r="CL40" s="37">
        <f t="shared" si="33"/>
        <v>0</v>
      </c>
      <c r="CM40" s="50">
        <v>80</v>
      </c>
      <c r="CN40" s="50">
        <v>88</v>
      </c>
      <c r="CO40" s="48">
        <f t="shared" si="34"/>
        <v>3</v>
      </c>
      <c r="CP40" s="37"/>
      <c r="CQ40" s="48">
        <f t="shared" si="35"/>
        <v>3</v>
      </c>
      <c r="CR40" s="37"/>
      <c r="CS40" s="37"/>
      <c r="CT40" s="37"/>
      <c r="CU40" s="37"/>
      <c r="CV40" s="37">
        <f t="shared" si="36"/>
        <v>5</v>
      </c>
      <c r="CW40" s="37">
        <v>6</v>
      </c>
      <c r="CX40" s="37">
        <v>6</v>
      </c>
      <c r="CY40" s="51">
        <f t="shared" si="37"/>
        <v>4</v>
      </c>
      <c r="CZ40" s="37"/>
      <c r="DA40" s="37">
        <v>168.38</v>
      </c>
      <c r="DB40" s="37">
        <f t="shared" si="38"/>
        <v>4</v>
      </c>
      <c r="DC40" s="39">
        <f t="shared" si="39"/>
        <v>1</v>
      </c>
      <c r="DD40" s="46">
        <v>147033807</v>
      </c>
      <c r="DE40" s="46">
        <v>147033807</v>
      </c>
      <c r="DF40" s="37">
        <f t="shared" si="40"/>
        <v>3</v>
      </c>
      <c r="DG40" s="39">
        <f t="shared" si="41"/>
        <v>0</v>
      </c>
      <c r="DH40" s="46">
        <v>0</v>
      </c>
      <c r="DI40" s="46">
        <v>133859272.13</v>
      </c>
      <c r="DJ40" s="37">
        <f t="shared" si="60"/>
        <v>3</v>
      </c>
      <c r="DK40" s="37"/>
      <c r="DL40" s="37"/>
      <c r="DM40" s="37">
        <f t="shared" si="42"/>
        <v>5</v>
      </c>
      <c r="DN40" s="52">
        <f t="shared" si="43"/>
        <v>1</v>
      </c>
      <c r="DO40" s="64">
        <v>15</v>
      </c>
      <c r="DP40" s="64">
        <v>15</v>
      </c>
      <c r="DQ40" s="37">
        <f t="shared" si="44"/>
        <v>4</v>
      </c>
      <c r="DR40" s="39">
        <f t="shared" si="45"/>
        <v>1</v>
      </c>
      <c r="DS40" s="64">
        <v>90</v>
      </c>
      <c r="DT40" s="64">
        <v>90</v>
      </c>
      <c r="DU40" s="54">
        <f t="shared" si="46"/>
        <v>61.331662154762377</v>
      </c>
      <c r="DV40" s="55">
        <f t="shared" si="47"/>
        <v>32</v>
      </c>
      <c r="DW40" s="4"/>
    </row>
    <row r="41" spans="1:127" ht="120">
      <c r="A41" s="35">
        <v>53</v>
      </c>
      <c r="B41" s="35">
        <v>37</v>
      </c>
      <c r="C41" s="56" t="s">
        <v>164</v>
      </c>
      <c r="D41" s="56" t="s">
        <v>219</v>
      </c>
      <c r="E41" s="37">
        <f t="shared" si="55"/>
        <v>0</v>
      </c>
      <c r="F41" s="38">
        <f t="shared" ref="F41:F72" si="62">IF(H41=0,0,G41/H41)</f>
        <v>0.2634121876253403</v>
      </c>
      <c r="G41" s="57">
        <v>45000</v>
      </c>
      <c r="H41" s="57">
        <v>170834.92</v>
      </c>
      <c r="I41" s="37">
        <f t="shared" si="56"/>
        <v>0</v>
      </c>
      <c r="J41" s="39">
        <f t="shared" ref="J41:J72" si="63">IF(L41=0,0,K41/L41)</f>
        <v>0.4104643242728126</v>
      </c>
      <c r="K41" s="46">
        <v>70121.64</v>
      </c>
      <c r="L41" s="46">
        <v>170834.92</v>
      </c>
      <c r="M41" s="37">
        <f t="shared" si="61"/>
        <v>2.8729173169045277</v>
      </c>
      <c r="N41" s="39">
        <f t="shared" si="57"/>
        <v>0.94152782112696853</v>
      </c>
      <c r="O41" s="45">
        <v>160845.82999999999</v>
      </c>
      <c r="P41" s="46">
        <v>170834.92</v>
      </c>
      <c r="Q41" s="37">
        <f t="shared" si="58"/>
        <v>0</v>
      </c>
      <c r="R41" s="39">
        <f t="shared" ref="R41:R72" si="64">IF(T41=0,0,S41/T41)</f>
        <v>0.4104643242728126</v>
      </c>
      <c r="S41" s="40">
        <f t="shared" ref="S41:S67" si="65">K41</f>
        <v>70121.64</v>
      </c>
      <c r="T41" s="41">
        <v>170834.92</v>
      </c>
      <c r="U41" s="37">
        <f t="shared" si="8"/>
        <v>3</v>
      </c>
      <c r="V41" s="39">
        <f t="shared" ref="V41:V72" si="66">IF(AB41=0,0,(W41-X41-Y41-Z41-AA41)/AB41)</f>
        <v>-1.0943283771176092E-2</v>
      </c>
      <c r="W41" s="40">
        <v>40827.589999999997</v>
      </c>
      <c r="X41" s="8">
        <v>184135.31</v>
      </c>
      <c r="Y41" s="8">
        <v>442347.39</v>
      </c>
      <c r="Z41" s="8">
        <v>0</v>
      </c>
      <c r="AA41" s="40">
        <v>0</v>
      </c>
      <c r="AB41" s="40">
        <v>53517310</v>
      </c>
      <c r="AC41" s="37">
        <f t="shared" ref="AC41:AC67" si="67">IF(AF41=0,3,IF(AE41/AF41&lt;$AF$7/100,3,IF(AE41/AF41&gt;$AE$7/100,0,3)))</f>
        <v>3</v>
      </c>
      <c r="AD41" s="38">
        <f t="shared" ref="AD41:AD72" si="68">IF(AF41=0,0,AE41/AF41)</f>
        <v>0</v>
      </c>
      <c r="AE41" s="57">
        <v>0</v>
      </c>
      <c r="AF41" s="57">
        <v>1977600</v>
      </c>
      <c r="AG41" s="37">
        <f t="shared" ref="AG41:AG72" si="69">IF(AH41&gt;3,IF(AH41&lt;8,1,0),0)</f>
        <v>0</v>
      </c>
      <c r="AH41" s="42">
        <f t="shared" ref="AH41:AH72" si="70">AI41+4-AJ41</f>
        <v>-2</v>
      </c>
      <c r="AI41" s="42">
        <v>2</v>
      </c>
      <c r="AJ41" s="42">
        <v>8</v>
      </c>
      <c r="AK41" s="37"/>
      <c r="AL41" s="42"/>
      <c r="AM41" s="37"/>
      <c r="AN41" s="37"/>
      <c r="AO41" s="37">
        <f t="shared" ref="AO41:AO72" si="71">IF(AP41=0,3,3*(1-AP41))</f>
        <v>3</v>
      </c>
      <c r="AP41" s="39">
        <f t="shared" ref="AP41:AP72" si="72">IF(AR41=0,0,AQ41/AR41)</f>
        <v>0</v>
      </c>
      <c r="AQ41" s="57"/>
      <c r="AR41" s="57">
        <v>58184270</v>
      </c>
      <c r="AS41" s="37">
        <f t="shared" ref="AS41:AS72" si="73">IF(AT41&lt;0.3,0,IF(AT41&gt;0.7,2,2*AT41/0.7))</f>
        <v>0</v>
      </c>
      <c r="AT41" s="39">
        <f t="shared" ref="AT41:AT72" si="74">AU41/(AU41+AV41)</f>
        <v>2.9964857680543754E-3</v>
      </c>
      <c r="AU41" s="45">
        <f t="shared" ref="AU41:AU67" si="75">O41</f>
        <v>160845.82999999999</v>
      </c>
      <c r="AV41" s="46">
        <f t="shared" ref="AV41:AV67" si="76">AB41</f>
        <v>53517310</v>
      </c>
      <c r="AW41" s="37">
        <f t="shared" si="20"/>
        <v>0</v>
      </c>
      <c r="AX41" s="39">
        <f t="shared" si="59"/>
        <v>-0.86964176693677764</v>
      </c>
      <c r="AY41" s="66">
        <v>160845.82999999999</v>
      </c>
      <c r="AZ41" s="37">
        <v>1233875.5</v>
      </c>
      <c r="BA41" s="37">
        <v>2</v>
      </c>
      <c r="BB41" s="37">
        <v>160845.82999999999</v>
      </c>
      <c r="BC41" s="37">
        <v>0</v>
      </c>
      <c r="BD41" s="37">
        <f t="shared" ref="BD41:BD72" si="77">IF(BE41&lt;$BF$7/100,1,0)</f>
        <v>1</v>
      </c>
      <c r="BE41" s="39">
        <f t="shared" ref="BE41:BE72" si="78">IF(BG41=0,0,BF41/BG41)</f>
        <v>0</v>
      </c>
      <c r="BF41" s="37">
        <v>0</v>
      </c>
      <c r="BG41" s="37">
        <v>752357.85</v>
      </c>
      <c r="BH41" s="37">
        <f t="shared" ref="BH41:BH72" si="79">IF(BI41=0,1,IF(BI41/BJ41&lt;0.01,1,0))</f>
        <v>1</v>
      </c>
      <c r="BI41" s="37">
        <v>0</v>
      </c>
      <c r="BJ41" s="37" t="s">
        <v>190</v>
      </c>
      <c r="BK41" s="37">
        <f t="shared" ref="BK41:BK72" si="80">IF(BL41&lt;0.001,$BK$7,0)</f>
        <v>4</v>
      </c>
      <c r="BL41" s="38">
        <f t="shared" ref="BL41:BL72" si="81">BM41/(BN41+BO41+BP41)</f>
        <v>0</v>
      </c>
      <c r="BM41" s="37">
        <v>0</v>
      </c>
      <c r="BN41" s="37">
        <v>7061.55</v>
      </c>
      <c r="BO41" s="37">
        <v>0</v>
      </c>
      <c r="BP41" s="37">
        <v>3866</v>
      </c>
      <c r="BQ41" s="37">
        <f t="shared" si="49"/>
        <v>2</v>
      </c>
      <c r="BR41" s="39">
        <f t="shared" ref="BR41:BR72" si="82">(BS41/BT41/BU41)/BV41</f>
        <v>0.9648107759861827</v>
      </c>
      <c r="BS41" s="37">
        <v>15973682.68</v>
      </c>
      <c r="BT41" s="37">
        <v>21.3</v>
      </c>
      <c r="BU41" s="37">
        <v>12</v>
      </c>
      <c r="BV41" s="44">
        <v>64774.2</v>
      </c>
      <c r="BW41" s="37">
        <f t="shared" si="48"/>
        <v>0</v>
      </c>
      <c r="BX41" s="39">
        <f t="shared" ref="BX41:BX72" si="83">BY41/BZ41</f>
        <v>0.81530203426335479</v>
      </c>
      <c r="BY41" s="37">
        <v>43818534.880000003</v>
      </c>
      <c r="BZ41" s="66">
        <v>53745155.829999998</v>
      </c>
      <c r="CA41" s="48">
        <f t="shared" ref="CA41:CA67" si="84">IF((CC41+CD41)/CE41&lt;0.6,0,2)</f>
        <v>2</v>
      </c>
      <c r="CB41" s="49">
        <f t="shared" ref="CB41:CB72" si="85">(CC41+CD41)/CE41</f>
        <v>2</v>
      </c>
      <c r="CC41" s="37">
        <v>1</v>
      </c>
      <c r="CD41" s="37">
        <v>1</v>
      </c>
      <c r="CE41" s="37">
        <v>1</v>
      </c>
      <c r="CF41" s="37">
        <f t="shared" ref="CF41:CF67" si="86">IF(CH41/CI41&lt;$CH$7/100,0,IF(CH41/CI41&gt;$CI$7/100,3,$CF$7*(CH41/CI41-$CF$7/100)/(($CH$7-$CI$7)/100)))</f>
        <v>3</v>
      </c>
      <c r="CG41" s="39">
        <f t="shared" ref="CG41:CG72" si="87">CH41/CI41</f>
        <v>1</v>
      </c>
      <c r="CH41" s="37">
        <v>2</v>
      </c>
      <c r="CI41" s="37">
        <v>2</v>
      </c>
      <c r="CJ41" s="48">
        <f t="shared" ref="CJ41:CJ72" si="88">IF(CK41&gt;0,0,5)</f>
        <v>0</v>
      </c>
      <c r="CK41" s="37">
        <v>1</v>
      </c>
      <c r="CL41" s="37">
        <f t="shared" ref="CL41:CL72" si="89">IF(CM41/CN41&lt;$CM$7/100,0,IF(CM41/CN41&gt;$CN$7/100,$CL$7,$CL$7*(CM41/CN41-$CL$7/100)/(($CM$7-$CN$7)/100)))</f>
        <v>0</v>
      </c>
      <c r="CM41" s="37">
        <v>63</v>
      </c>
      <c r="CN41" s="50">
        <v>88</v>
      </c>
      <c r="CO41" s="48">
        <f t="shared" ref="CO41:CO72" si="90">IF(CP41&gt;0,0,3)</f>
        <v>3</v>
      </c>
      <c r="CP41" s="37"/>
      <c r="CQ41" s="48">
        <f t="shared" ref="CQ41:CQ72" si="91">IF(CR41&gt;0,0,3)</f>
        <v>3</v>
      </c>
      <c r="CR41" s="37"/>
      <c r="CS41" s="37"/>
      <c r="CT41" s="37"/>
      <c r="CU41" s="37"/>
      <c r="CV41" s="37">
        <f t="shared" ref="CV41:CV72" si="92">IF(CX41/CW41&lt;0.95,0,5*(CW41/CX41))</f>
        <v>5</v>
      </c>
      <c r="CW41" s="37">
        <v>6</v>
      </c>
      <c r="CX41" s="37">
        <v>6</v>
      </c>
      <c r="CY41" s="51">
        <f t="shared" ref="CY41:CY72" si="93">IF(CZ41&gt;0,0,4)</f>
        <v>4</v>
      </c>
      <c r="CZ41" s="37"/>
      <c r="DA41" s="37">
        <v>14.17</v>
      </c>
      <c r="DB41" s="37">
        <f t="shared" ref="DB41:DB67" si="94">IF(DD41/DE41&gt;1,0,IF(DD41/DE41&lt;$DE$7/100,0,IF(DD41/DE41&gt;$DD$7/100,$DB$7,$DB$7*(DD41/DE41-$DE$7/100)/(($DD$7-$DE$7)/100))))</f>
        <v>4</v>
      </c>
      <c r="DC41" s="39">
        <f t="shared" ref="DC41:DC72" si="95">DD41/DE41</f>
        <v>1</v>
      </c>
      <c r="DD41" s="44">
        <v>58213564.049999997</v>
      </c>
      <c r="DE41" s="44">
        <v>58213564.049999997</v>
      </c>
      <c r="DF41" s="37">
        <f t="shared" ref="DF41:DF72" si="96">IF(DG41&gt;0.01,0,3)</f>
        <v>3</v>
      </c>
      <c r="DG41" s="39">
        <f t="shared" ref="DG41:DG72" si="97">IF(DI41=0,0,DH41/DI41)</f>
        <v>0</v>
      </c>
      <c r="DH41" s="46">
        <v>0</v>
      </c>
      <c r="DI41" s="11">
        <v>58143442.409999996</v>
      </c>
      <c r="DJ41" s="37">
        <f t="shared" si="60"/>
        <v>3</v>
      </c>
      <c r="DK41" s="37"/>
      <c r="DL41" s="37"/>
      <c r="DM41" s="37">
        <f t="shared" ref="DM41:DM72" si="98">IF(DN41&lt;0.9,0,5*DN41)</f>
        <v>5</v>
      </c>
      <c r="DN41" s="52">
        <f t="shared" ref="DN41:DN72" si="99">DO41/DP41</f>
        <v>1</v>
      </c>
      <c r="DO41" s="53">
        <v>12</v>
      </c>
      <c r="DP41" s="53">
        <v>12</v>
      </c>
      <c r="DQ41" s="37">
        <f t="shared" ref="DQ41:DQ67" si="100">IF(DS41/DT41&lt;$DT$7/100,0,IF(DS41/DT41&gt;$DS$7/100,$DQ$7,$DQ$7*(DS41/DT41-$DT$7/100)/(($DS$7-$DT$7)/100)))</f>
        <v>4</v>
      </c>
      <c r="DR41" s="39">
        <f t="shared" ref="DR41:DR72" si="101">DS41/DT41</f>
        <v>1</v>
      </c>
      <c r="DS41" s="58">
        <v>44</v>
      </c>
      <c r="DT41" s="58">
        <v>44</v>
      </c>
      <c r="DU41" s="54">
        <f t="shared" ref="DU41:DU67" si="102">E41+I41+M41+Q41+U41+AC41+AG41+AK41+AO41+AS41+AW41+BA41+BD41+BH41+BK41+BQ41+BW41+CA41+CF41+CJ41+CL41+CO41+CQ41+CS41+CV41+CY41+DB41+DF41+DJ41+DM41+DQ41</f>
        <v>60.872917316904527</v>
      </c>
      <c r="DV41" s="55">
        <f t="shared" ref="DV41:DV72" si="103">RANK(DU41,$DU$9:$DU$67)</f>
        <v>33</v>
      </c>
      <c r="DW41" s="4"/>
    </row>
    <row r="42" spans="1:127" ht="150">
      <c r="A42" s="35">
        <v>38</v>
      </c>
      <c r="B42" s="35">
        <v>46</v>
      </c>
      <c r="C42" s="36" t="s">
        <v>164</v>
      </c>
      <c r="D42" s="36" t="s">
        <v>203</v>
      </c>
      <c r="E42" s="37">
        <f t="shared" si="55"/>
        <v>3</v>
      </c>
      <c r="F42" s="38">
        <f t="shared" si="62"/>
        <v>1</v>
      </c>
      <c r="G42" s="9">
        <v>56657.62</v>
      </c>
      <c r="H42" s="9">
        <v>56657.62</v>
      </c>
      <c r="I42" s="37">
        <f t="shared" si="56"/>
        <v>0</v>
      </c>
      <c r="J42" s="39">
        <f t="shared" si="63"/>
        <v>4.3437393770995569E-4</v>
      </c>
      <c r="K42" s="11">
        <v>56657.62</v>
      </c>
      <c r="L42" s="11">
        <v>130435127.62</v>
      </c>
      <c r="M42" s="37">
        <f t="shared" si="61"/>
        <v>0.78041065639907814</v>
      </c>
      <c r="N42" s="39">
        <f t="shared" si="57"/>
        <v>0.80202737709327188</v>
      </c>
      <c r="O42" s="10">
        <v>56657.62</v>
      </c>
      <c r="P42" s="11">
        <v>70643</v>
      </c>
      <c r="Q42" s="37">
        <f t="shared" si="58"/>
        <v>0</v>
      </c>
      <c r="R42" s="39">
        <f t="shared" si="64"/>
        <v>4.3437393770995569E-4</v>
      </c>
      <c r="S42" s="40">
        <f t="shared" si="65"/>
        <v>56657.62</v>
      </c>
      <c r="T42" s="41">
        <v>130435127.62</v>
      </c>
      <c r="U42" s="37">
        <f t="shared" si="8"/>
        <v>3</v>
      </c>
      <c r="V42" s="39">
        <f t="shared" si="66"/>
        <v>-0.15240007290593038</v>
      </c>
      <c r="W42" s="40">
        <v>0</v>
      </c>
      <c r="X42" s="8">
        <v>0</v>
      </c>
      <c r="Y42" s="8">
        <v>9448454</v>
      </c>
      <c r="Z42" s="8">
        <v>9448454</v>
      </c>
      <c r="AA42" s="40">
        <v>0</v>
      </c>
      <c r="AB42" s="40">
        <v>123995400</v>
      </c>
      <c r="AC42" s="37">
        <f t="shared" si="67"/>
        <v>3</v>
      </c>
      <c r="AD42" s="38">
        <f t="shared" si="68"/>
        <v>6.1795012679261366E-4</v>
      </c>
      <c r="AE42" s="9">
        <v>2500</v>
      </c>
      <c r="AF42" s="9">
        <v>4045633.93</v>
      </c>
      <c r="AG42" s="37">
        <f t="shared" si="69"/>
        <v>1</v>
      </c>
      <c r="AH42" s="42">
        <f t="shared" si="70"/>
        <v>4</v>
      </c>
      <c r="AI42" s="43">
        <v>15</v>
      </c>
      <c r="AJ42" s="43">
        <v>15</v>
      </c>
      <c r="AK42" s="44"/>
      <c r="AL42" s="43"/>
      <c r="AM42" s="44"/>
      <c r="AN42" s="44"/>
      <c r="AO42" s="37">
        <f t="shared" si="71"/>
        <v>2.9999424751648029</v>
      </c>
      <c r="AP42" s="39">
        <f t="shared" si="72"/>
        <v>1.9174945065699882E-5</v>
      </c>
      <c r="AQ42" s="9">
        <v>2500</v>
      </c>
      <c r="AR42" s="9">
        <v>130378470</v>
      </c>
      <c r="AS42" s="37">
        <f t="shared" si="73"/>
        <v>0</v>
      </c>
      <c r="AT42" s="39">
        <f t="shared" si="74"/>
        <v>4.5672454844364877E-4</v>
      </c>
      <c r="AU42" s="45">
        <f t="shared" si="75"/>
        <v>56657.62</v>
      </c>
      <c r="AV42" s="46">
        <f t="shared" si="76"/>
        <v>123995400</v>
      </c>
      <c r="AW42" s="37">
        <f t="shared" si="20"/>
        <v>0</v>
      </c>
      <c r="AX42" s="39">
        <f t="shared" si="59"/>
        <v>-0.19797262290672812</v>
      </c>
      <c r="AY42" s="47">
        <v>56657.62</v>
      </c>
      <c r="AZ42" s="44">
        <v>70643</v>
      </c>
      <c r="BA42" s="44">
        <v>2</v>
      </c>
      <c r="BB42" s="44">
        <v>56657.62</v>
      </c>
      <c r="BC42" s="37">
        <v>0</v>
      </c>
      <c r="BD42" s="37">
        <f t="shared" si="77"/>
        <v>1</v>
      </c>
      <c r="BE42" s="39">
        <f t="shared" si="78"/>
        <v>0</v>
      </c>
      <c r="BF42" s="37">
        <v>0</v>
      </c>
      <c r="BG42" s="44">
        <v>2500</v>
      </c>
      <c r="BH42" s="37">
        <f t="shared" si="79"/>
        <v>1</v>
      </c>
      <c r="BI42" s="37">
        <v>0</v>
      </c>
      <c r="BJ42" s="44">
        <v>11043997.640000001</v>
      </c>
      <c r="BK42" s="37">
        <f t="shared" si="80"/>
        <v>4</v>
      </c>
      <c r="BL42" s="38">
        <f t="shared" si="81"/>
        <v>0</v>
      </c>
      <c r="BM42" s="37">
        <v>0</v>
      </c>
      <c r="BN42" s="44">
        <v>55875.86</v>
      </c>
      <c r="BO42" s="37">
        <v>0</v>
      </c>
      <c r="BP42" s="44">
        <v>8204.44</v>
      </c>
      <c r="BQ42" s="37">
        <f t="shared" si="49"/>
        <v>0</v>
      </c>
      <c r="BR42" s="39">
        <f t="shared" si="82"/>
        <v>1.2023755108922582</v>
      </c>
      <c r="BS42" s="44">
        <v>43529995</v>
      </c>
      <c r="BT42" s="44">
        <v>49.2</v>
      </c>
      <c r="BU42" s="44">
        <v>12</v>
      </c>
      <c r="BV42" s="44">
        <v>61320</v>
      </c>
      <c r="BW42" s="37">
        <f t="shared" si="48"/>
        <v>0</v>
      </c>
      <c r="BX42" s="39">
        <f t="shared" si="83"/>
        <v>0.67996030898886761</v>
      </c>
      <c r="BY42" s="44">
        <v>84350475.430000007</v>
      </c>
      <c r="BZ42" s="47">
        <v>124052057.62</v>
      </c>
      <c r="CA42" s="48">
        <f t="shared" si="84"/>
        <v>2</v>
      </c>
      <c r="CB42" s="49">
        <f t="shared" si="85"/>
        <v>2</v>
      </c>
      <c r="CC42" s="44">
        <v>3</v>
      </c>
      <c r="CD42" s="44">
        <v>3</v>
      </c>
      <c r="CE42" s="44">
        <v>3</v>
      </c>
      <c r="CF42" s="37">
        <f t="shared" si="86"/>
        <v>3</v>
      </c>
      <c r="CG42" s="39">
        <f t="shared" si="87"/>
        <v>1</v>
      </c>
      <c r="CH42" s="44">
        <v>2</v>
      </c>
      <c r="CI42" s="44">
        <v>2</v>
      </c>
      <c r="CJ42" s="48">
        <f t="shared" si="88"/>
        <v>0</v>
      </c>
      <c r="CK42" s="44">
        <v>1</v>
      </c>
      <c r="CL42" s="37">
        <f t="shared" si="89"/>
        <v>0</v>
      </c>
      <c r="CM42" s="44">
        <v>86</v>
      </c>
      <c r="CN42" s="50">
        <v>88</v>
      </c>
      <c r="CO42" s="48">
        <f t="shared" si="90"/>
        <v>3</v>
      </c>
      <c r="CP42" s="44"/>
      <c r="CQ42" s="48">
        <f t="shared" si="91"/>
        <v>3</v>
      </c>
      <c r="CR42" s="44"/>
      <c r="CS42" s="37"/>
      <c r="CT42" s="44"/>
      <c r="CU42" s="44"/>
      <c r="CV42" s="37">
        <f t="shared" si="92"/>
        <v>5</v>
      </c>
      <c r="CW42" s="44">
        <v>6</v>
      </c>
      <c r="CX42" s="44">
        <v>6</v>
      </c>
      <c r="CY42" s="51">
        <f t="shared" si="93"/>
        <v>4</v>
      </c>
      <c r="CZ42" s="44"/>
      <c r="DA42" s="44">
        <v>42</v>
      </c>
      <c r="DB42" s="37">
        <f t="shared" si="94"/>
        <v>4</v>
      </c>
      <c r="DC42" s="39">
        <f t="shared" si="95"/>
        <v>1</v>
      </c>
      <c r="DD42" s="44">
        <v>130432627.62</v>
      </c>
      <c r="DE42" s="44">
        <v>130432627.62</v>
      </c>
      <c r="DF42" s="37">
        <f t="shared" si="96"/>
        <v>3</v>
      </c>
      <c r="DG42" s="39">
        <f t="shared" si="97"/>
        <v>0</v>
      </c>
      <c r="DH42" s="46">
        <v>0</v>
      </c>
      <c r="DI42" s="11">
        <v>130375970</v>
      </c>
      <c r="DJ42" s="37">
        <f t="shared" si="60"/>
        <v>3</v>
      </c>
      <c r="DK42" s="44"/>
      <c r="DL42" s="44"/>
      <c r="DM42" s="37">
        <f t="shared" si="98"/>
        <v>5</v>
      </c>
      <c r="DN42" s="52">
        <f t="shared" si="99"/>
        <v>1</v>
      </c>
      <c r="DO42" s="53">
        <v>38</v>
      </c>
      <c r="DP42" s="53">
        <v>38</v>
      </c>
      <c r="DQ42" s="37">
        <f t="shared" si="100"/>
        <v>4</v>
      </c>
      <c r="DR42" s="39">
        <f t="shared" si="101"/>
        <v>1</v>
      </c>
      <c r="DS42" s="53">
        <v>89</v>
      </c>
      <c r="DT42" s="53">
        <v>89</v>
      </c>
      <c r="DU42" s="54">
        <f t="shared" si="102"/>
        <v>60.780353131563878</v>
      </c>
      <c r="DV42" s="55">
        <f t="shared" si="103"/>
        <v>34</v>
      </c>
      <c r="DW42" s="4"/>
    </row>
    <row r="43" spans="1:127" ht="120">
      <c r="A43" s="35">
        <v>15</v>
      </c>
      <c r="B43" s="35">
        <v>19</v>
      </c>
      <c r="C43" s="56" t="s">
        <v>164</v>
      </c>
      <c r="D43" s="56" t="s">
        <v>178</v>
      </c>
      <c r="E43" s="37">
        <f t="shared" si="55"/>
        <v>0</v>
      </c>
      <c r="F43" s="38">
        <f t="shared" si="62"/>
        <v>1.0039010082493125</v>
      </c>
      <c r="G43" s="57">
        <v>68453500</v>
      </c>
      <c r="H43" s="57">
        <v>68187500</v>
      </c>
      <c r="I43" s="37">
        <f t="shared" si="56"/>
        <v>1.8750578947764205</v>
      </c>
      <c r="J43" s="39">
        <f t="shared" si="63"/>
        <v>0.95000154386070457</v>
      </c>
      <c r="K43" s="46">
        <v>65566173.950000003</v>
      </c>
      <c r="L43" s="46">
        <v>69016913.049999997</v>
      </c>
      <c r="M43" s="37">
        <f t="shared" si="61"/>
        <v>3</v>
      </c>
      <c r="N43" s="39">
        <f t="shared" si="57"/>
        <v>1.4321925810869565</v>
      </c>
      <c r="O43" s="45">
        <v>65880858.729999997</v>
      </c>
      <c r="P43" s="46">
        <v>46000000</v>
      </c>
      <c r="Q43" s="37">
        <f t="shared" si="58"/>
        <v>3</v>
      </c>
      <c r="R43" s="39">
        <f t="shared" si="64"/>
        <v>0.95000154386070457</v>
      </c>
      <c r="S43" s="40">
        <f t="shared" si="65"/>
        <v>65566173.950000003</v>
      </c>
      <c r="T43" s="41">
        <v>69016913.049999997</v>
      </c>
      <c r="U43" s="37">
        <f t="shared" si="8"/>
        <v>3</v>
      </c>
      <c r="V43" s="39">
        <f t="shared" si="66"/>
        <v>-4.755968296925895E-2</v>
      </c>
      <c r="W43" s="65" t="s">
        <v>166</v>
      </c>
      <c r="X43" s="8">
        <v>60303.64</v>
      </c>
      <c r="Y43" s="8">
        <v>3309839.91</v>
      </c>
      <c r="Z43" s="8">
        <v>3309839.91</v>
      </c>
      <c r="AA43" s="40">
        <v>0</v>
      </c>
      <c r="AB43" s="40">
        <v>140454751.65000001</v>
      </c>
      <c r="AC43" s="37">
        <f t="shared" si="67"/>
        <v>0</v>
      </c>
      <c r="AD43" s="38">
        <f t="shared" si="68"/>
        <v>0.23273393942905163</v>
      </c>
      <c r="AE43" s="57">
        <v>4880510.37</v>
      </c>
      <c r="AF43" s="57">
        <v>20970342.279999997</v>
      </c>
      <c r="AG43" s="37">
        <f t="shared" si="69"/>
        <v>1</v>
      </c>
      <c r="AH43" s="42">
        <f t="shared" si="70"/>
        <v>4</v>
      </c>
      <c r="AI43" s="42">
        <v>28</v>
      </c>
      <c r="AJ43" s="42">
        <v>28</v>
      </c>
      <c r="AK43" s="37"/>
      <c r="AL43" s="42"/>
      <c r="AM43" s="37"/>
      <c r="AN43" s="37"/>
      <c r="AO43" s="37">
        <f t="shared" si="71"/>
        <v>2.9816765403203727</v>
      </c>
      <c r="AP43" s="39">
        <f t="shared" si="72"/>
        <v>6.1078198932092206E-3</v>
      </c>
      <c r="AQ43" s="57">
        <v>1127346.96</v>
      </c>
      <c r="AR43" s="57">
        <v>184574362</v>
      </c>
      <c r="AS43" s="37">
        <f t="shared" si="73"/>
        <v>0.91225661240054323</v>
      </c>
      <c r="AT43" s="39">
        <f t="shared" si="74"/>
        <v>0.3192898143401901</v>
      </c>
      <c r="AU43" s="45">
        <f t="shared" si="75"/>
        <v>65880858.729999997</v>
      </c>
      <c r="AV43" s="46">
        <f t="shared" si="76"/>
        <v>140454751.65000001</v>
      </c>
      <c r="AW43" s="37">
        <f t="shared" si="20"/>
        <v>2</v>
      </c>
      <c r="AX43" s="39">
        <f t="shared" si="59"/>
        <v>0.4189073723349368</v>
      </c>
      <c r="AY43" s="45">
        <f>AU43</f>
        <v>65880858.729999997</v>
      </c>
      <c r="AZ43" s="46">
        <v>46430697.32</v>
      </c>
      <c r="BA43" s="37">
        <v>2</v>
      </c>
      <c r="BB43" s="46">
        <f>AY43</f>
        <v>65880858.729999997</v>
      </c>
      <c r="BC43" s="46">
        <v>0</v>
      </c>
      <c r="BD43" s="37">
        <f t="shared" si="77"/>
        <v>1</v>
      </c>
      <c r="BE43" s="39">
        <f t="shared" si="78"/>
        <v>0</v>
      </c>
      <c r="BF43" s="37">
        <v>0</v>
      </c>
      <c r="BG43" s="46">
        <v>16164145.220000001</v>
      </c>
      <c r="BH43" s="37">
        <f t="shared" si="79"/>
        <v>1</v>
      </c>
      <c r="BI43" s="37">
        <v>0</v>
      </c>
      <c r="BJ43" s="46">
        <v>15878297.6</v>
      </c>
      <c r="BK43" s="37">
        <f t="shared" si="80"/>
        <v>4</v>
      </c>
      <c r="BL43" s="38">
        <f t="shared" si="81"/>
        <v>0</v>
      </c>
      <c r="BM43" s="46">
        <v>0</v>
      </c>
      <c r="BN43" s="46">
        <v>160024.64000000001</v>
      </c>
      <c r="BO43" s="46">
        <v>11</v>
      </c>
      <c r="BP43" s="46">
        <v>39552.65</v>
      </c>
      <c r="BQ43" s="37">
        <f t="shared" si="49"/>
        <v>0</v>
      </c>
      <c r="BR43" s="39">
        <f t="shared" si="82"/>
        <v>1.1479881497997442</v>
      </c>
      <c r="BS43" s="37">
        <v>44485000</v>
      </c>
      <c r="BT43" s="37">
        <v>52</v>
      </c>
      <c r="BU43" s="37">
        <v>12</v>
      </c>
      <c r="BV43" s="63">
        <v>62100</v>
      </c>
      <c r="BW43" s="37">
        <f t="shared" ref="BW43:BW74" si="104">IF(BX43&lt;0.7,0,IF(BX43&lt;0.8,2,0))</f>
        <v>2</v>
      </c>
      <c r="BX43" s="39">
        <f t="shared" si="83"/>
        <v>0.72845333982497706</v>
      </c>
      <c r="BY43" s="46">
        <f>114851.5*1000*1.302</f>
        <v>149536653</v>
      </c>
      <c r="BZ43" s="45">
        <v>205279658.72999999</v>
      </c>
      <c r="CA43" s="48">
        <f t="shared" si="84"/>
        <v>2</v>
      </c>
      <c r="CB43" s="49">
        <f t="shared" si="85"/>
        <v>1.4</v>
      </c>
      <c r="CC43" s="37">
        <v>3</v>
      </c>
      <c r="CD43" s="37">
        <v>4</v>
      </c>
      <c r="CE43" s="37">
        <v>5</v>
      </c>
      <c r="CF43" s="37">
        <f t="shared" si="86"/>
        <v>3</v>
      </c>
      <c r="CG43" s="39">
        <f t="shared" si="87"/>
        <v>1</v>
      </c>
      <c r="CH43" s="37">
        <v>2</v>
      </c>
      <c r="CI43" s="37">
        <v>2</v>
      </c>
      <c r="CJ43" s="48">
        <f t="shared" si="88"/>
        <v>0</v>
      </c>
      <c r="CK43" s="37">
        <v>1</v>
      </c>
      <c r="CL43" s="37">
        <f t="shared" si="89"/>
        <v>0</v>
      </c>
      <c r="CM43" s="50">
        <v>73</v>
      </c>
      <c r="CN43" s="50">
        <v>88</v>
      </c>
      <c r="CO43" s="48">
        <f t="shared" si="90"/>
        <v>0</v>
      </c>
      <c r="CP43" s="37">
        <v>1</v>
      </c>
      <c r="CQ43" s="48">
        <f t="shared" si="91"/>
        <v>3</v>
      </c>
      <c r="CR43" s="37"/>
      <c r="CS43" s="37"/>
      <c r="CT43" s="37"/>
      <c r="CU43" s="37"/>
      <c r="CV43" s="37">
        <f t="shared" si="92"/>
        <v>5</v>
      </c>
      <c r="CW43" s="37">
        <v>6</v>
      </c>
      <c r="CX43" s="37">
        <v>6</v>
      </c>
      <c r="CY43" s="51">
        <f t="shared" si="93"/>
        <v>0</v>
      </c>
      <c r="CZ43" s="37">
        <v>1</v>
      </c>
      <c r="DA43" s="37">
        <v>69.42</v>
      </c>
      <c r="DB43" s="37">
        <f t="shared" si="94"/>
        <v>4</v>
      </c>
      <c r="DC43" s="39">
        <f t="shared" si="95"/>
        <v>1</v>
      </c>
      <c r="DD43" s="46">
        <v>250455439.25999999</v>
      </c>
      <c r="DE43" s="46">
        <v>250455439.25999999</v>
      </c>
      <c r="DF43" s="37">
        <f t="shared" si="96"/>
        <v>3</v>
      </c>
      <c r="DG43" s="39">
        <f t="shared" si="97"/>
        <v>0</v>
      </c>
      <c r="DH43" s="46">
        <v>0</v>
      </c>
      <c r="DI43" s="46">
        <v>184889265.31</v>
      </c>
      <c r="DJ43" s="37">
        <f t="shared" si="60"/>
        <v>3</v>
      </c>
      <c r="DK43" s="37"/>
      <c r="DL43" s="37"/>
      <c r="DM43" s="37">
        <f t="shared" si="98"/>
        <v>5</v>
      </c>
      <c r="DN43" s="52">
        <f t="shared" si="99"/>
        <v>1</v>
      </c>
      <c r="DO43" s="64">
        <v>22</v>
      </c>
      <c r="DP43" s="64">
        <v>22</v>
      </c>
      <c r="DQ43" s="37">
        <f t="shared" si="100"/>
        <v>4</v>
      </c>
      <c r="DR43" s="39">
        <f t="shared" si="101"/>
        <v>1</v>
      </c>
      <c r="DS43" s="64">
        <v>139</v>
      </c>
      <c r="DT43" s="64">
        <v>139</v>
      </c>
      <c r="DU43" s="54">
        <f t="shared" si="102"/>
        <v>59.768991047497337</v>
      </c>
      <c r="DV43" s="55">
        <f t="shared" si="103"/>
        <v>35</v>
      </c>
      <c r="DW43" s="4"/>
    </row>
    <row r="44" spans="1:127" ht="120">
      <c r="A44" s="35">
        <v>54</v>
      </c>
      <c r="B44" s="35">
        <v>21</v>
      </c>
      <c r="C44" s="56" t="s">
        <v>164</v>
      </c>
      <c r="D44" s="56" t="s">
        <v>220</v>
      </c>
      <c r="E44" s="37">
        <f t="shared" si="55"/>
        <v>3</v>
      </c>
      <c r="F44" s="38">
        <f t="shared" si="62"/>
        <v>1</v>
      </c>
      <c r="G44" s="57">
        <v>9500000</v>
      </c>
      <c r="H44" s="57">
        <v>9500000</v>
      </c>
      <c r="I44" s="37">
        <f t="shared" si="56"/>
        <v>0</v>
      </c>
      <c r="J44" s="39">
        <f t="shared" si="63"/>
        <v>0.75501105609908847</v>
      </c>
      <c r="K44" s="46">
        <v>8856300.6999999993</v>
      </c>
      <c r="L44" s="46">
        <v>11730027.83</v>
      </c>
      <c r="M44" s="37">
        <f t="shared" si="61"/>
        <v>3</v>
      </c>
      <c r="N44" s="39">
        <f t="shared" si="57"/>
        <v>1.35303328</v>
      </c>
      <c r="O44" s="45">
        <v>8794716.3200000003</v>
      </c>
      <c r="P44" s="46">
        <v>6500000</v>
      </c>
      <c r="Q44" s="37">
        <f t="shared" si="58"/>
        <v>7.5165841486327101E-2</v>
      </c>
      <c r="R44" s="39">
        <f t="shared" si="64"/>
        <v>0.75501105609908847</v>
      </c>
      <c r="S44" s="40">
        <f t="shared" si="65"/>
        <v>8856300.6999999993</v>
      </c>
      <c r="T44" s="41">
        <v>11730027.83</v>
      </c>
      <c r="U44" s="37">
        <f t="shared" si="8"/>
        <v>1.4761163359262819</v>
      </c>
      <c r="V44" s="39">
        <f t="shared" si="66"/>
        <v>1.9681551145683759E-2</v>
      </c>
      <c r="W44" s="65">
        <v>3994226.04</v>
      </c>
      <c r="X44" s="8">
        <v>0</v>
      </c>
      <c r="Y44" s="8">
        <v>1199484.1100000001</v>
      </c>
      <c r="Z44" s="8">
        <v>1100561.8799999999</v>
      </c>
      <c r="AA44" s="40">
        <v>0</v>
      </c>
      <c r="AB44" s="40">
        <v>86079600</v>
      </c>
      <c r="AC44" s="37">
        <f t="shared" si="67"/>
        <v>0</v>
      </c>
      <c r="AD44" s="38">
        <f t="shared" si="68"/>
        <v>0.59802286864270848</v>
      </c>
      <c r="AE44" s="57">
        <v>6016196.7300000004</v>
      </c>
      <c r="AF44" s="57">
        <v>10060144.930000002</v>
      </c>
      <c r="AG44" s="37">
        <f t="shared" si="69"/>
        <v>0</v>
      </c>
      <c r="AH44" s="42">
        <f t="shared" si="70"/>
        <v>-24</v>
      </c>
      <c r="AI44" s="42">
        <v>4</v>
      </c>
      <c r="AJ44" s="42">
        <v>32</v>
      </c>
      <c r="AK44" s="37"/>
      <c r="AL44" s="42"/>
      <c r="AM44" s="63"/>
      <c r="AN44" s="37"/>
      <c r="AO44" s="37">
        <f t="shared" si="71"/>
        <v>2.8378914965598523</v>
      </c>
      <c r="AP44" s="39">
        <f t="shared" si="72"/>
        <v>5.4036167813382642E-2</v>
      </c>
      <c r="AQ44" s="57">
        <v>6016196.7300000004</v>
      </c>
      <c r="AR44" s="57">
        <v>111336480.23999999</v>
      </c>
      <c r="AS44" s="37">
        <f t="shared" si="73"/>
        <v>0</v>
      </c>
      <c r="AT44" s="39">
        <f t="shared" si="74"/>
        <v>9.2698600223230579E-2</v>
      </c>
      <c r="AU44" s="45">
        <f t="shared" si="75"/>
        <v>8794716.3200000003</v>
      </c>
      <c r="AV44" s="46">
        <f t="shared" si="76"/>
        <v>86079600</v>
      </c>
      <c r="AW44" s="37">
        <f t="shared" si="20"/>
        <v>0</v>
      </c>
      <c r="AX44" s="39">
        <f t="shared" si="59"/>
        <v>-3.6011190926161785E-2</v>
      </c>
      <c r="AY44" s="45">
        <f>AU44</f>
        <v>8794716.3200000003</v>
      </c>
      <c r="AZ44" s="46">
        <v>9123255.6199999992</v>
      </c>
      <c r="BA44" s="37">
        <v>2</v>
      </c>
      <c r="BB44" s="46">
        <f>AY44</f>
        <v>8794716.3200000003</v>
      </c>
      <c r="BC44" s="46">
        <v>0</v>
      </c>
      <c r="BD44" s="37">
        <f t="shared" si="77"/>
        <v>1</v>
      </c>
      <c r="BE44" s="39">
        <f t="shared" si="78"/>
        <v>0</v>
      </c>
      <c r="BF44" s="37">
        <v>0</v>
      </c>
      <c r="BG44" s="46">
        <v>584587.82999999996</v>
      </c>
      <c r="BH44" s="37">
        <f t="shared" si="79"/>
        <v>1</v>
      </c>
      <c r="BI44" s="37">
        <v>0</v>
      </c>
      <c r="BJ44" s="46">
        <v>1186627.04</v>
      </c>
      <c r="BK44" s="37">
        <f t="shared" si="80"/>
        <v>4</v>
      </c>
      <c r="BL44" s="38">
        <f t="shared" si="81"/>
        <v>0</v>
      </c>
      <c r="BM44" s="46">
        <v>0</v>
      </c>
      <c r="BN44" s="46">
        <v>86935.74</v>
      </c>
      <c r="BO44" s="46">
        <v>0</v>
      </c>
      <c r="BP44" s="46">
        <v>12281.24</v>
      </c>
      <c r="BQ44" s="37">
        <f t="shared" si="49"/>
        <v>2</v>
      </c>
      <c r="BR44" s="39">
        <f t="shared" si="82"/>
        <v>1.0000000589239308</v>
      </c>
      <c r="BS44" s="37">
        <v>14391437.18</v>
      </c>
      <c r="BT44" s="63">
        <v>16.899999999999999</v>
      </c>
      <c r="BU44" s="37">
        <v>12</v>
      </c>
      <c r="BV44" s="63">
        <v>70963.69</v>
      </c>
      <c r="BW44" s="37">
        <f t="shared" si="104"/>
        <v>0</v>
      </c>
      <c r="BX44" s="39">
        <f t="shared" si="83"/>
        <v>0.57346444949854902</v>
      </c>
      <c r="BY44" s="46">
        <v>54407047.579999998</v>
      </c>
      <c r="BZ44" s="45">
        <v>94874316.319999993</v>
      </c>
      <c r="CA44" s="48">
        <f t="shared" si="84"/>
        <v>2</v>
      </c>
      <c r="CB44" s="49">
        <f t="shared" si="85"/>
        <v>1.4</v>
      </c>
      <c r="CC44" s="37">
        <v>5</v>
      </c>
      <c r="CD44" s="37">
        <v>2</v>
      </c>
      <c r="CE44" s="37">
        <v>5</v>
      </c>
      <c r="CF44" s="37">
        <f t="shared" si="86"/>
        <v>3</v>
      </c>
      <c r="CG44" s="39">
        <f t="shared" si="87"/>
        <v>1</v>
      </c>
      <c r="CH44" s="37">
        <v>2</v>
      </c>
      <c r="CI44" s="37">
        <v>2</v>
      </c>
      <c r="CJ44" s="48">
        <f t="shared" si="88"/>
        <v>0</v>
      </c>
      <c r="CK44" s="63">
        <v>1</v>
      </c>
      <c r="CL44" s="37">
        <f t="shared" si="89"/>
        <v>0</v>
      </c>
      <c r="CM44" s="50">
        <v>74</v>
      </c>
      <c r="CN44" s="50">
        <v>88</v>
      </c>
      <c r="CO44" s="48">
        <f t="shared" si="90"/>
        <v>3</v>
      </c>
      <c r="CP44" s="37"/>
      <c r="CQ44" s="48">
        <f t="shared" si="91"/>
        <v>3</v>
      </c>
      <c r="CR44" s="63"/>
      <c r="CS44" s="37"/>
      <c r="CT44" s="37"/>
      <c r="CU44" s="37"/>
      <c r="CV44" s="37">
        <f t="shared" si="92"/>
        <v>5</v>
      </c>
      <c r="CW44" s="37">
        <v>6</v>
      </c>
      <c r="CX44" s="37">
        <v>6</v>
      </c>
      <c r="CY44" s="51">
        <f t="shared" si="93"/>
        <v>4</v>
      </c>
      <c r="CZ44" s="37"/>
      <c r="DA44" s="37">
        <v>14.19</v>
      </c>
      <c r="DB44" s="37">
        <f t="shared" si="94"/>
        <v>4</v>
      </c>
      <c r="DC44" s="39">
        <f t="shared" si="95"/>
        <v>1</v>
      </c>
      <c r="DD44" s="46">
        <v>110351129.70999999</v>
      </c>
      <c r="DE44" s="46">
        <v>110351129.70999999</v>
      </c>
      <c r="DF44" s="37">
        <f t="shared" si="96"/>
        <v>3</v>
      </c>
      <c r="DG44" s="39">
        <f t="shared" si="97"/>
        <v>0</v>
      </c>
      <c r="DH44" s="46">
        <v>0</v>
      </c>
      <c r="DI44" s="46">
        <v>101494829.01000001</v>
      </c>
      <c r="DJ44" s="37">
        <f t="shared" si="60"/>
        <v>3</v>
      </c>
      <c r="DK44" s="37"/>
      <c r="DL44" s="37"/>
      <c r="DM44" s="37">
        <f t="shared" si="98"/>
        <v>5</v>
      </c>
      <c r="DN44" s="52">
        <f t="shared" si="99"/>
        <v>1</v>
      </c>
      <c r="DO44" s="64">
        <v>20</v>
      </c>
      <c r="DP44" s="64">
        <v>20</v>
      </c>
      <c r="DQ44" s="37">
        <f t="shared" si="100"/>
        <v>4</v>
      </c>
      <c r="DR44" s="39">
        <f t="shared" si="101"/>
        <v>1</v>
      </c>
      <c r="DS44" s="64">
        <v>64</v>
      </c>
      <c r="DT44" s="64">
        <v>64</v>
      </c>
      <c r="DU44" s="54">
        <f t="shared" si="102"/>
        <v>59.389173673972465</v>
      </c>
      <c r="DV44" s="55">
        <f t="shared" si="103"/>
        <v>36</v>
      </c>
      <c r="DW44" s="4"/>
    </row>
    <row r="45" spans="1:127" ht="150">
      <c r="A45" s="35">
        <v>44</v>
      </c>
      <c r="B45" s="35">
        <v>50</v>
      </c>
      <c r="C45" s="56" t="s">
        <v>164</v>
      </c>
      <c r="D45" s="56" t="s">
        <v>209</v>
      </c>
      <c r="E45" s="37">
        <f t="shared" si="55"/>
        <v>0</v>
      </c>
      <c r="F45" s="38">
        <f t="shared" si="62"/>
        <v>0.80000447089547855</v>
      </c>
      <c r="G45" s="57">
        <v>634865.18000000005</v>
      </c>
      <c r="H45" s="57">
        <v>793577.04</v>
      </c>
      <c r="I45" s="37">
        <f t="shared" si="56"/>
        <v>0</v>
      </c>
      <c r="J45" s="39">
        <f t="shared" si="63"/>
        <v>0.82927161047905318</v>
      </c>
      <c r="K45" s="46">
        <v>658090.91</v>
      </c>
      <c r="L45" s="46">
        <v>793577.04</v>
      </c>
      <c r="M45" s="37">
        <f t="shared" si="61"/>
        <v>6.3004468980100703E-2</v>
      </c>
      <c r="N45" s="39">
        <f t="shared" si="57"/>
        <v>0.75420029793200671</v>
      </c>
      <c r="O45" s="45">
        <v>598516.04</v>
      </c>
      <c r="P45" s="46">
        <v>793577.04</v>
      </c>
      <c r="Q45" s="37">
        <f t="shared" si="58"/>
        <v>1.1890741571857977</v>
      </c>
      <c r="R45" s="39">
        <f t="shared" si="64"/>
        <v>0.82927161047905318</v>
      </c>
      <c r="S45" s="40">
        <f t="shared" si="65"/>
        <v>658090.91</v>
      </c>
      <c r="T45" s="41">
        <v>793577.04</v>
      </c>
      <c r="U45" s="37">
        <f t="shared" si="8"/>
        <v>3</v>
      </c>
      <c r="V45" s="39">
        <f t="shared" si="66"/>
        <v>-0.18705008742439433</v>
      </c>
      <c r="W45" s="40">
        <v>1865.85</v>
      </c>
      <c r="X45" s="8">
        <v>0</v>
      </c>
      <c r="Y45" s="8">
        <v>9040260.1999999993</v>
      </c>
      <c r="Z45" s="8">
        <v>6056229.7199999997</v>
      </c>
      <c r="AA45" s="40">
        <v>0</v>
      </c>
      <c r="AB45" s="40">
        <v>80698300</v>
      </c>
      <c r="AC45" s="37">
        <f t="shared" si="67"/>
        <v>3</v>
      </c>
      <c r="AD45" s="38">
        <f t="shared" si="68"/>
        <v>0</v>
      </c>
      <c r="AE45" s="57">
        <v>0</v>
      </c>
      <c r="AF45" s="57">
        <v>9813016.5600000005</v>
      </c>
      <c r="AG45" s="37">
        <f t="shared" si="69"/>
        <v>0</v>
      </c>
      <c r="AH45" s="42">
        <f t="shared" si="70"/>
        <v>0</v>
      </c>
      <c r="AI45" s="42">
        <v>8</v>
      </c>
      <c r="AJ45" s="42">
        <v>12</v>
      </c>
      <c r="AK45" s="37"/>
      <c r="AL45" s="42"/>
      <c r="AM45" s="37"/>
      <c r="AN45" s="37"/>
      <c r="AO45" s="37">
        <f t="shared" si="71"/>
        <v>3</v>
      </c>
      <c r="AP45" s="39">
        <f t="shared" si="72"/>
        <v>0</v>
      </c>
      <c r="AQ45" s="57"/>
      <c r="AR45" s="57">
        <v>92373900</v>
      </c>
      <c r="AS45" s="37">
        <f t="shared" si="73"/>
        <v>0</v>
      </c>
      <c r="AT45" s="39">
        <f t="shared" si="74"/>
        <v>7.3621092332264975E-3</v>
      </c>
      <c r="AU45" s="45">
        <f t="shared" si="75"/>
        <v>598516.04</v>
      </c>
      <c r="AV45" s="46">
        <f t="shared" si="76"/>
        <v>80698300</v>
      </c>
      <c r="AW45" s="37">
        <f t="shared" si="20"/>
        <v>0</v>
      </c>
      <c r="AX45" s="39">
        <f t="shared" si="59"/>
        <v>-9.3669783975433019E-2</v>
      </c>
      <c r="AY45" s="66">
        <v>598516.04</v>
      </c>
      <c r="AZ45" s="37">
        <v>660373.04</v>
      </c>
      <c r="BA45" s="37">
        <v>2</v>
      </c>
      <c r="BB45" s="37">
        <v>598516.04</v>
      </c>
      <c r="BC45" s="37">
        <v>0</v>
      </c>
      <c r="BD45" s="37">
        <f t="shared" si="77"/>
        <v>1</v>
      </c>
      <c r="BE45" s="39">
        <f t="shared" si="78"/>
        <v>0</v>
      </c>
      <c r="BF45" s="37">
        <v>0</v>
      </c>
      <c r="BG45" s="37">
        <v>5667.35</v>
      </c>
      <c r="BH45" s="37">
        <f t="shared" si="79"/>
        <v>1</v>
      </c>
      <c r="BI45" s="37">
        <v>0</v>
      </c>
      <c r="BJ45" s="37">
        <v>7268763.0800000001</v>
      </c>
      <c r="BK45" s="37">
        <f t="shared" si="80"/>
        <v>4</v>
      </c>
      <c r="BL45" s="38">
        <f t="shared" si="81"/>
        <v>0</v>
      </c>
      <c r="BM45" s="37">
        <v>0</v>
      </c>
      <c r="BN45" s="44">
        <v>7381.13</v>
      </c>
      <c r="BO45" s="37">
        <v>0</v>
      </c>
      <c r="BP45" s="44">
        <v>4542.9399999999996</v>
      </c>
      <c r="BQ45" s="37">
        <f t="shared" ref="BQ45:BQ76" si="105">IF(BR45&lt;0.95,0,IF(BR45&lt;1.05,2,0))</f>
        <v>2</v>
      </c>
      <c r="BR45" s="39">
        <f t="shared" si="82"/>
        <v>1.033405311571816</v>
      </c>
      <c r="BS45" s="37">
        <v>29960586</v>
      </c>
      <c r="BT45" s="37">
        <v>39.4</v>
      </c>
      <c r="BU45" s="37">
        <v>12</v>
      </c>
      <c r="BV45" s="37">
        <v>61320</v>
      </c>
      <c r="BW45" s="37">
        <f t="shared" si="104"/>
        <v>0</v>
      </c>
      <c r="BX45" s="39">
        <f t="shared" si="83"/>
        <v>0.8144536382263956</v>
      </c>
      <c r="BY45" s="37">
        <v>66212487.600000001</v>
      </c>
      <c r="BZ45" s="66">
        <v>81296816.040000007</v>
      </c>
      <c r="CA45" s="48">
        <f t="shared" si="84"/>
        <v>2</v>
      </c>
      <c r="CB45" s="49">
        <f t="shared" si="85"/>
        <v>2</v>
      </c>
      <c r="CC45" s="37">
        <v>2</v>
      </c>
      <c r="CD45" s="37">
        <v>2</v>
      </c>
      <c r="CE45" s="37">
        <v>2</v>
      </c>
      <c r="CF45" s="37">
        <f t="shared" si="86"/>
        <v>3</v>
      </c>
      <c r="CG45" s="39">
        <f t="shared" si="87"/>
        <v>1</v>
      </c>
      <c r="CH45" s="37">
        <v>8</v>
      </c>
      <c r="CI45" s="37">
        <v>8</v>
      </c>
      <c r="CJ45" s="48">
        <f t="shared" si="88"/>
        <v>0</v>
      </c>
      <c r="CK45" s="37">
        <v>1</v>
      </c>
      <c r="CL45" s="37">
        <f t="shared" si="89"/>
        <v>0</v>
      </c>
      <c r="CM45" s="37">
        <v>77</v>
      </c>
      <c r="CN45" s="50">
        <v>88</v>
      </c>
      <c r="CO45" s="48">
        <f t="shared" si="90"/>
        <v>3</v>
      </c>
      <c r="CP45" s="37"/>
      <c r="CQ45" s="48">
        <f t="shared" si="91"/>
        <v>3</v>
      </c>
      <c r="CR45" s="37"/>
      <c r="CS45" s="37"/>
      <c r="CT45" s="37"/>
      <c r="CU45" s="37"/>
      <c r="CV45" s="37">
        <f t="shared" si="92"/>
        <v>5</v>
      </c>
      <c r="CW45" s="37">
        <v>6</v>
      </c>
      <c r="CX45" s="37">
        <v>6</v>
      </c>
      <c r="CY45" s="51">
        <f t="shared" si="93"/>
        <v>4</v>
      </c>
      <c r="CZ45" s="37"/>
      <c r="DA45" s="37">
        <v>0</v>
      </c>
      <c r="DB45" s="37">
        <f t="shared" si="94"/>
        <v>4</v>
      </c>
      <c r="DC45" s="39">
        <f t="shared" si="95"/>
        <v>1</v>
      </c>
      <c r="DD45" s="44">
        <v>93030175.060000002</v>
      </c>
      <c r="DE45" s="44">
        <v>93030175.060000002</v>
      </c>
      <c r="DF45" s="37">
        <f t="shared" si="96"/>
        <v>3</v>
      </c>
      <c r="DG45" s="39">
        <f t="shared" si="97"/>
        <v>0</v>
      </c>
      <c r="DH45" s="46">
        <v>0</v>
      </c>
      <c r="DI45" s="11">
        <v>92372084.150000006</v>
      </c>
      <c r="DJ45" s="37">
        <f t="shared" si="60"/>
        <v>3</v>
      </c>
      <c r="DK45" s="37"/>
      <c r="DL45" s="37"/>
      <c r="DM45" s="37">
        <f t="shared" si="98"/>
        <v>5</v>
      </c>
      <c r="DN45" s="52">
        <f t="shared" si="99"/>
        <v>1</v>
      </c>
      <c r="DO45" s="53">
        <v>30</v>
      </c>
      <c r="DP45" s="53">
        <v>30</v>
      </c>
      <c r="DQ45" s="37">
        <f t="shared" si="100"/>
        <v>4</v>
      </c>
      <c r="DR45" s="39">
        <f t="shared" si="101"/>
        <v>1</v>
      </c>
      <c r="DS45" s="58">
        <v>80</v>
      </c>
      <c r="DT45" s="58">
        <v>80</v>
      </c>
      <c r="DU45" s="54">
        <f t="shared" si="102"/>
        <v>59.252078626165897</v>
      </c>
      <c r="DV45" s="55">
        <f t="shared" si="103"/>
        <v>37</v>
      </c>
      <c r="DW45" s="4"/>
    </row>
    <row r="46" spans="1:127" s="1" customFormat="1" ht="165">
      <c r="A46" s="35">
        <v>34</v>
      </c>
      <c r="B46" s="35">
        <v>35</v>
      </c>
      <c r="C46" s="56" t="s">
        <v>164</v>
      </c>
      <c r="D46" s="56" t="s">
        <v>199</v>
      </c>
      <c r="E46" s="37">
        <f t="shared" si="55"/>
        <v>0</v>
      </c>
      <c r="F46" s="38">
        <f t="shared" si="62"/>
        <v>0</v>
      </c>
      <c r="G46" s="57">
        <v>0</v>
      </c>
      <c r="H46" s="57">
        <v>43516.68</v>
      </c>
      <c r="I46" s="37"/>
      <c r="J46" s="39">
        <f t="shared" si="63"/>
        <v>0</v>
      </c>
      <c r="K46" s="46">
        <v>0</v>
      </c>
      <c r="L46" s="46">
        <v>0</v>
      </c>
      <c r="M46" s="37">
        <f t="shared" si="61"/>
        <v>3</v>
      </c>
      <c r="N46" s="39">
        <f t="shared" si="57"/>
        <v>1</v>
      </c>
      <c r="O46" s="45">
        <v>43516.68</v>
      </c>
      <c r="P46" s="46">
        <v>43516.68</v>
      </c>
      <c r="Q46" s="37"/>
      <c r="R46" s="39">
        <f t="shared" si="64"/>
        <v>0</v>
      </c>
      <c r="S46" s="40">
        <f t="shared" si="65"/>
        <v>0</v>
      </c>
      <c r="T46" s="41">
        <v>0</v>
      </c>
      <c r="U46" s="37">
        <f t="shared" si="8"/>
        <v>2.0752962977654827</v>
      </c>
      <c r="V46" s="39">
        <f t="shared" si="66"/>
        <v>2.7670617303539771E-2</v>
      </c>
      <c r="W46" s="40">
        <v>4709134.1500000004</v>
      </c>
      <c r="X46" s="8">
        <v>0</v>
      </c>
      <c r="Y46" s="8">
        <v>349097.58</v>
      </c>
      <c r="Z46" s="8">
        <v>349097.58</v>
      </c>
      <c r="AA46" s="40">
        <v>0</v>
      </c>
      <c r="AB46" s="40">
        <v>144953000</v>
      </c>
      <c r="AC46" s="37">
        <f t="shared" si="67"/>
        <v>0</v>
      </c>
      <c r="AD46" s="38">
        <f t="shared" si="68"/>
        <v>9.6516004673980541E-2</v>
      </c>
      <c r="AE46" s="57">
        <v>600000</v>
      </c>
      <c r="AF46" s="57">
        <v>6216585.5500000007</v>
      </c>
      <c r="AG46" s="37">
        <f t="shared" si="69"/>
        <v>0</v>
      </c>
      <c r="AH46" s="42">
        <f t="shared" si="70"/>
        <v>1</v>
      </c>
      <c r="AI46" s="42">
        <v>15</v>
      </c>
      <c r="AJ46" s="42">
        <v>18</v>
      </c>
      <c r="AK46" s="37"/>
      <c r="AL46" s="42"/>
      <c r="AM46" s="37"/>
      <c r="AN46" s="37"/>
      <c r="AO46" s="37">
        <f t="shared" si="71"/>
        <v>2.9883340211797522</v>
      </c>
      <c r="AP46" s="39">
        <f t="shared" si="72"/>
        <v>3.8886596067493266E-3</v>
      </c>
      <c r="AQ46" s="57">
        <v>600000</v>
      </c>
      <c r="AR46" s="57">
        <v>154294811.24000001</v>
      </c>
      <c r="AS46" s="37">
        <f t="shared" si="73"/>
        <v>0</v>
      </c>
      <c r="AT46" s="39">
        <f t="shared" si="74"/>
        <v>3.0012224428838601E-4</v>
      </c>
      <c r="AU46" s="45">
        <f t="shared" si="75"/>
        <v>43516.68</v>
      </c>
      <c r="AV46" s="46">
        <f t="shared" si="76"/>
        <v>144953000</v>
      </c>
      <c r="AW46" s="37">
        <f t="shared" si="20"/>
        <v>2</v>
      </c>
      <c r="AX46" s="39">
        <v>1</v>
      </c>
      <c r="AY46" s="66">
        <v>43516.68</v>
      </c>
      <c r="AZ46" s="37">
        <v>51.72</v>
      </c>
      <c r="BA46" s="37">
        <v>2</v>
      </c>
      <c r="BB46" s="37">
        <v>43516.68</v>
      </c>
      <c r="BC46" s="37">
        <v>0</v>
      </c>
      <c r="BD46" s="37">
        <f t="shared" si="77"/>
        <v>1</v>
      </c>
      <c r="BE46" s="39">
        <f t="shared" si="78"/>
        <v>0</v>
      </c>
      <c r="BF46" s="37">
        <v>0</v>
      </c>
      <c r="BG46" s="37">
        <v>23955.7</v>
      </c>
      <c r="BH46" s="37">
        <f t="shared" si="79"/>
        <v>1</v>
      </c>
      <c r="BI46" s="37">
        <v>0</v>
      </c>
      <c r="BJ46" s="37">
        <v>13517999.060000001</v>
      </c>
      <c r="BK46" s="37">
        <f t="shared" si="80"/>
        <v>4</v>
      </c>
      <c r="BL46" s="38">
        <f t="shared" si="81"/>
        <v>0</v>
      </c>
      <c r="BM46" s="37">
        <v>0</v>
      </c>
      <c r="BN46" s="37">
        <v>9840.07</v>
      </c>
      <c r="BO46" s="37">
        <v>0</v>
      </c>
      <c r="BP46" s="37">
        <v>16873.28</v>
      </c>
      <c r="BQ46" s="37">
        <f t="shared" si="105"/>
        <v>0</v>
      </c>
      <c r="BR46" s="39">
        <f t="shared" si="82"/>
        <v>1.1382063909242151</v>
      </c>
      <c r="BS46" s="37">
        <v>57622600</v>
      </c>
      <c r="BT46" s="37">
        <v>68.8</v>
      </c>
      <c r="BU46" s="37">
        <v>12</v>
      </c>
      <c r="BV46" s="37">
        <v>61320</v>
      </c>
      <c r="BW46" s="37">
        <f t="shared" si="104"/>
        <v>2</v>
      </c>
      <c r="BX46" s="39">
        <f t="shared" si="83"/>
        <v>0.79498591862310386</v>
      </c>
      <c r="BY46" s="37">
        <v>115270189.01000001</v>
      </c>
      <c r="BZ46" s="66">
        <v>144996516.68000001</v>
      </c>
      <c r="CA46" s="48">
        <f t="shared" si="84"/>
        <v>2</v>
      </c>
      <c r="CB46" s="49">
        <f t="shared" si="85"/>
        <v>1.2</v>
      </c>
      <c r="CC46" s="37">
        <v>3</v>
      </c>
      <c r="CD46" s="37">
        <v>3</v>
      </c>
      <c r="CE46" s="37">
        <v>5</v>
      </c>
      <c r="CF46" s="37">
        <f t="shared" si="86"/>
        <v>3</v>
      </c>
      <c r="CG46" s="39">
        <f t="shared" si="87"/>
        <v>1</v>
      </c>
      <c r="CH46" s="37">
        <v>2</v>
      </c>
      <c r="CI46" s="37">
        <v>2</v>
      </c>
      <c r="CJ46" s="48">
        <f t="shared" si="88"/>
        <v>0</v>
      </c>
      <c r="CK46" s="37">
        <v>1</v>
      </c>
      <c r="CL46" s="37">
        <f t="shared" si="89"/>
        <v>0</v>
      </c>
      <c r="CM46" s="37">
        <v>77</v>
      </c>
      <c r="CN46" s="50">
        <v>88</v>
      </c>
      <c r="CO46" s="48">
        <f t="shared" si="90"/>
        <v>3</v>
      </c>
      <c r="CP46" s="37"/>
      <c r="CQ46" s="48">
        <f t="shared" si="91"/>
        <v>3</v>
      </c>
      <c r="CR46" s="37"/>
      <c r="CS46" s="37"/>
      <c r="CT46" s="37"/>
      <c r="CU46" s="37"/>
      <c r="CV46" s="37">
        <f t="shared" si="92"/>
        <v>5</v>
      </c>
      <c r="CW46" s="37">
        <v>6</v>
      </c>
      <c r="CX46" s="37">
        <v>6</v>
      </c>
      <c r="CY46" s="51">
        <f t="shared" si="93"/>
        <v>4</v>
      </c>
      <c r="CZ46" s="37"/>
      <c r="DA46" s="37">
        <v>3.2149999999999998E-2</v>
      </c>
      <c r="DB46" s="37">
        <f t="shared" si="94"/>
        <v>4</v>
      </c>
      <c r="DC46" s="39">
        <f t="shared" si="95"/>
        <v>1</v>
      </c>
      <c r="DD46" s="44">
        <v>150916466.18000001</v>
      </c>
      <c r="DE46" s="44">
        <v>150916466.18000001</v>
      </c>
      <c r="DF46" s="37">
        <f t="shared" si="96"/>
        <v>3</v>
      </c>
      <c r="DG46" s="39">
        <f t="shared" si="97"/>
        <v>0</v>
      </c>
      <c r="DH46" s="46">
        <v>0</v>
      </c>
      <c r="DI46" s="11">
        <v>150916466.18000001</v>
      </c>
      <c r="DJ46" s="37">
        <f t="shared" si="60"/>
        <v>3</v>
      </c>
      <c r="DK46" s="37"/>
      <c r="DL46" s="37"/>
      <c r="DM46" s="37">
        <f t="shared" si="98"/>
        <v>5</v>
      </c>
      <c r="DN46" s="52">
        <f t="shared" si="99"/>
        <v>1</v>
      </c>
      <c r="DO46" s="58">
        <v>33</v>
      </c>
      <c r="DP46" s="58">
        <v>33</v>
      </c>
      <c r="DQ46" s="37">
        <f t="shared" si="100"/>
        <v>4</v>
      </c>
      <c r="DR46" s="39">
        <f t="shared" si="101"/>
        <v>1</v>
      </c>
      <c r="DS46" s="58">
        <v>124.4</v>
      </c>
      <c r="DT46" s="58">
        <v>124.4</v>
      </c>
      <c r="DU46" s="54">
        <f t="shared" si="102"/>
        <v>59.063630318945236</v>
      </c>
      <c r="DV46" s="55">
        <f t="shared" si="103"/>
        <v>38</v>
      </c>
      <c r="DW46" s="5"/>
    </row>
    <row r="47" spans="1:127" s="1" customFormat="1" ht="150">
      <c r="A47" s="35">
        <v>41</v>
      </c>
      <c r="B47" s="35">
        <v>32</v>
      </c>
      <c r="C47" s="36" t="s">
        <v>164</v>
      </c>
      <c r="D47" s="36" t="s">
        <v>206</v>
      </c>
      <c r="E47" s="37"/>
      <c r="F47" s="38">
        <f t="shared" si="62"/>
        <v>0</v>
      </c>
      <c r="G47" s="9">
        <v>0</v>
      </c>
      <c r="H47" s="9">
        <v>0</v>
      </c>
      <c r="I47" s="37"/>
      <c r="J47" s="39">
        <f t="shared" si="63"/>
        <v>0</v>
      </c>
      <c r="K47" s="11">
        <v>0</v>
      </c>
      <c r="L47" s="11">
        <v>0</v>
      </c>
      <c r="M47" s="37"/>
      <c r="N47" s="39">
        <f t="shared" si="57"/>
        <v>0</v>
      </c>
      <c r="O47" s="10">
        <v>0</v>
      </c>
      <c r="P47" s="11">
        <v>0</v>
      </c>
      <c r="Q47" s="37"/>
      <c r="R47" s="39">
        <f t="shared" si="64"/>
        <v>0</v>
      </c>
      <c r="S47" s="40">
        <f t="shared" si="65"/>
        <v>0</v>
      </c>
      <c r="T47" s="41">
        <v>0</v>
      </c>
      <c r="U47" s="37">
        <f t="shared" si="8"/>
        <v>3</v>
      </c>
      <c r="V47" s="39">
        <f t="shared" si="66"/>
        <v>-5.0961923174335164E-2</v>
      </c>
      <c r="W47" s="40">
        <v>0</v>
      </c>
      <c r="X47" s="8">
        <v>0</v>
      </c>
      <c r="Y47" s="8">
        <v>1207287.96</v>
      </c>
      <c r="Z47" s="8">
        <v>1207287.96</v>
      </c>
      <c r="AA47" s="40">
        <v>0</v>
      </c>
      <c r="AB47" s="40">
        <v>47380000</v>
      </c>
      <c r="AC47" s="37">
        <f t="shared" si="67"/>
        <v>3</v>
      </c>
      <c r="AD47" s="38">
        <f t="shared" si="68"/>
        <v>0</v>
      </c>
      <c r="AE47" s="9">
        <v>0</v>
      </c>
      <c r="AF47" s="9">
        <v>434472.16999999993</v>
      </c>
      <c r="AG47" s="37">
        <f t="shared" si="69"/>
        <v>1</v>
      </c>
      <c r="AH47" s="42">
        <f t="shared" si="70"/>
        <v>5</v>
      </c>
      <c r="AI47" s="43">
        <v>13</v>
      </c>
      <c r="AJ47" s="43">
        <v>12</v>
      </c>
      <c r="AK47" s="44"/>
      <c r="AL47" s="43"/>
      <c r="AM47" s="44"/>
      <c r="AN47" s="44"/>
      <c r="AO47" s="37">
        <f t="shared" si="71"/>
        <v>3</v>
      </c>
      <c r="AP47" s="39">
        <f t="shared" si="72"/>
        <v>0</v>
      </c>
      <c r="AQ47" s="9"/>
      <c r="AR47" s="9">
        <v>49916090</v>
      </c>
      <c r="AS47" s="37">
        <f t="shared" si="73"/>
        <v>0</v>
      </c>
      <c r="AT47" s="39">
        <f t="shared" si="74"/>
        <v>0</v>
      </c>
      <c r="AU47" s="45">
        <f t="shared" si="75"/>
        <v>0</v>
      </c>
      <c r="AV47" s="46">
        <f t="shared" si="76"/>
        <v>47380000</v>
      </c>
      <c r="AW47" s="37">
        <f t="shared" si="20"/>
        <v>0</v>
      </c>
      <c r="AX47" s="39"/>
      <c r="AY47" s="47">
        <v>0</v>
      </c>
      <c r="AZ47" s="44">
        <v>27638787.010000002</v>
      </c>
      <c r="BA47" s="44">
        <v>2</v>
      </c>
      <c r="BB47" s="44" t="s">
        <v>192</v>
      </c>
      <c r="BC47" s="37">
        <v>0</v>
      </c>
      <c r="BD47" s="37">
        <f t="shared" si="77"/>
        <v>1</v>
      </c>
      <c r="BE47" s="39">
        <f t="shared" si="78"/>
        <v>0</v>
      </c>
      <c r="BF47" s="37">
        <v>0</v>
      </c>
      <c r="BG47" s="44">
        <v>26870.47</v>
      </c>
      <c r="BH47" s="37">
        <f t="shared" si="79"/>
        <v>1</v>
      </c>
      <c r="BI47" s="37">
        <v>0</v>
      </c>
      <c r="BJ47" s="44">
        <v>3518278.17</v>
      </c>
      <c r="BK47" s="37">
        <f t="shared" si="80"/>
        <v>4</v>
      </c>
      <c r="BL47" s="38">
        <f t="shared" si="81"/>
        <v>0</v>
      </c>
      <c r="BM47" s="37">
        <v>0</v>
      </c>
      <c r="BN47" s="44">
        <v>942.92</v>
      </c>
      <c r="BO47" s="37">
        <v>0</v>
      </c>
      <c r="BP47" s="44">
        <v>3218.19</v>
      </c>
      <c r="BQ47" s="37">
        <f t="shared" si="105"/>
        <v>0</v>
      </c>
      <c r="BR47" s="39">
        <f t="shared" si="82"/>
        <v>1.129540799069501</v>
      </c>
      <c r="BS47" s="44">
        <v>20945264.800000001</v>
      </c>
      <c r="BT47" s="44">
        <v>25.2</v>
      </c>
      <c r="BU47" s="44">
        <v>12</v>
      </c>
      <c r="BV47" s="44">
        <v>61320</v>
      </c>
      <c r="BW47" s="37">
        <f t="shared" si="104"/>
        <v>0</v>
      </c>
      <c r="BX47" s="39">
        <f t="shared" si="83"/>
        <v>0.81933114330941326</v>
      </c>
      <c r="BY47" s="44">
        <v>38819909.57</v>
      </c>
      <c r="BZ47" s="47">
        <v>47380000</v>
      </c>
      <c r="CA47" s="48">
        <f t="shared" si="84"/>
        <v>2</v>
      </c>
      <c r="CB47" s="49">
        <f t="shared" si="85"/>
        <v>2</v>
      </c>
      <c r="CC47" s="44">
        <v>2</v>
      </c>
      <c r="CD47" s="44">
        <v>2</v>
      </c>
      <c r="CE47" s="44">
        <v>2</v>
      </c>
      <c r="CF47" s="37">
        <f t="shared" si="86"/>
        <v>3</v>
      </c>
      <c r="CG47" s="39">
        <f t="shared" si="87"/>
        <v>1</v>
      </c>
      <c r="CH47" s="44">
        <v>1</v>
      </c>
      <c r="CI47" s="44">
        <v>1</v>
      </c>
      <c r="CJ47" s="48">
        <f t="shared" si="88"/>
        <v>0</v>
      </c>
      <c r="CK47" s="44">
        <v>1</v>
      </c>
      <c r="CL47" s="37">
        <f t="shared" si="89"/>
        <v>2</v>
      </c>
      <c r="CM47" s="44">
        <v>88</v>
      </c>
      <c r="CN47" s="50">
        <v>88</v>
      </c>
      <c r="CO47" s="48">
        <f t="shared" si="90"/>
        <v>3</v>
      </c>
      <c r="CP47" s="44"/>
      <c r="CQ47" s="48">
        <f t="shared" si="91"/>
        <v>3</v>
      </c>
      <c r="CR47" s="44"/>
      <c r="CS47" s="37"/>
      <c r="CT47" s="44"/>
      <c r="CU47" s="44"/>
      <c r="CV47" s="37">
        <f t="shared" si="92"/>
        <v>5</v>
      </c>
      <c r="CW47" s="44">
        <v>6</v>
      </c>
      <c r="CX47" s="44">
        <v>6</v>
      </c>
      <c r="CY47" s="51">
        <f t="shared" si="93"/>
        <v>4</v>
      </c>
      <c r="CZ47" s="44"/>
      <c r="DA47" s="44">
        <v>9.6300000000000008</v>
      </c>
      <c r="DB47" s="37">
        <f t="shared" si="94"/>
        <v>4</v>
      </c>
      <c r="DC47" s="39">
        <f t="shared" si="95"/>
        <v>1</v>
      </c>
      <c r="DD47" s="44">
        <v>49916090</v>
      </c>
      <c r="DE47" s="44">
        <v>49916090</v>
      </c>
      <c r="DF47" s="37">
        <f t="shared" si="96"/>
        <v>3</v>
      </c>
      <c r="DG47" s="39">
        <f t="shared" si="97"/>
        <v>0</v>
      </c>
      <c r="DH47" s="46">
        <v>0</v>
      </c>
      <c r="DI47" s="11">
        <v>49916090</v>
      </c>
      <c r="DJ47" s="37">
        <f t="shared" si="60"/>
        <v>3</v>
      </c>
      <c r="DK47" s="44"/>
      <c r="DL47" s="44"/>
      <c r="DM47" s="37">
        <f t="shared" si="98"/>
        <v>5</v>
      </c>
      <c r="DN47" s="52">
        <f t="shared" si="99"/>
        <v>1</v>
      </c>
      <c r="DO47" s="53">
        <v>22</v>
      </c>
      <c r="DP47" s="53">
        <v>22</v>
      </c>
      <c r="DQ47" s="37">
        <f t="shared" si="100"/>
        <v>4</v>
      </c>
      <c r="DR47" s="39">
        <f t="shared" si="101"/>
        <v>1</v>
      </c>
      <c r="DS47" s="53">
        <v>43</v>
      </c>
      <c r="DT47" s="53">
        <v>43</v>
      </c>
      <c r="DU47" s="54">
        <f t="shared" si="102"/>
        <v>59</v>
      </c>
      <c r="DV47" s="55">
        <f t="shared" si="103"/>
        <v>39</v>
      </c>
      <c r="DW47" s="5"/>
    </row>
    <row r="48" spans="1:127" s="1" customFormat="1" ht="105">
      <c r="A48" s="35">
        <v>37</v>
      </c>
      <c r="B48" s="35">
        <v>45</v>
      </c>
      <c r="C48" s="56" t="s">
        <v>164</v>
      </c>
      <c r="D48" s="56" t="s">
        <v>202</v>
      </c>
      <c r="E48" s="37"/>
      <c r="F48" s="38">
        <f t="shared" si="62"/>
        <v>0</v>
      </c>
      <c r="G48" s="57">
        <v>0</v>
      </c>
      <c r="H48" s="57">
        <v>0</v>
      </c>
      <c r="I48" s="37"/>
      <c r="J48" s="39">
        <f t="shared" si="63"/>
        <v>0</v>
      </c>
      <c r="K48" s="46">
        <v>0</v>
      </c>
      <c r="L48" s="46">
        <v>0</v>
      </c>
      <c r="M48" s="37"/>
      <c r="N48" s="39">
        <f t="shared" si="57"/>
        <v>0</v>
      </c>
      <c r="O48" s="45">
        <v>0</v>
      </c>
      <c r="P48" s="46">
        <v>0</v>
      </c>
      <c r="Q48" s="37"/>
      <c r="R48" s="39">
        <f t="shared" si="64"/>
        <v>0</v>
      </c>
      <c r="S48" s="40">
        <f t="shared" si="65"/>
        <v>0</v>
      </c>
      <c r="T48" s="41">
        <v>0</v>
      </c>
      <c r="U48" s="37">
        <f t="shared" si="8"/>
        <v>3</v>
      </c>
      <c r="V48" s="39">
        <f t="shared" si="66"/>
        <v>-0.10421844514375626</v>
      </c>
      <c r="W48" s="40">
        <v>0</v>
      </c>
      <c r="X48" s="8">
        <v>0</v>
      </c>
      <c r="Y48" s="8">
        <v>7285911.5</v>
      </c>
      <c r="Z48" s="8">
        <v>7285911.5</v>
      </c>
      <c r="AA48" s="40">
        <v>0</v>
      </c>
      <c r="AB48" s="40">
        <v>139820000</v>
      </c>
      <c r="AC48" s="37">
        <f t="shared" si="67"/>
        <v>3</v>
      </c>
      <c r="AD48" s="38">
        <f t="shared" si="68"/>
        <v>5.5156330968943016E-4</v>
      </c>
      <c r="AE48" s="57">
        <v>34889.17</v>
      </c>
      <c r="AF48" s="57">
        <v>63255059.549999997</v>
      </c>
      <c r="AG48" s="37">
        <f t="shared" si="69"/>
        <v>1</v>
      </c>
      <c r="AH48" s="42">
        <f t="shared" si="70"/>
        <v>4</v>
      </c>
      <c r="AI48" s="42">
        <v>17</v>
      </c>
      <c r="AJ48" s="42">
        <v>17</v>
      </c>
      <c r="AK48" s="37"/>
      <c r="AL48" s="42"/>
      <c r="AM48" s="37"/>
      <c r="AN48" s="37"/>
      <c r="AO48" s="37">
        <f t="shared" si="71"/>
        <v>2.9995352395199961</v>
      </c>
      <c r="AP48" s="39">
        <f t="shared" si="72"/>
        <v>1.5492016000133175E-4</v>
      </c>
      <c r="AQ48" s="57">
        <v>34889.17</v>
      </c>
      <c r="AR48" s="57">
        <v>225207422.97</v>
      </c>
      <c r="AS48" s="37">
        <f t="shared" si="73"/>
        <v>0</v>
      </c>
      <c r="AT48" s="39">
        <f t="shared" si="74"/>
        <v>0</v>
      </c>
      <c r="AU48" s="45">
        <f t="shared" si="75"/>
        <v>0</v>
      </c>
      <c r="AV48" s="46">
        <f t="shared" si="76"/>
        <v>139820000</v>
      </c>
      <c r="AW48" s="37">
        <f t="shared" si="20"/>
        <v>0</v>
      </c>
      <c r="AX48" s="39"/>
      <c r="AY48" s="66">
        <v>0</v>
      </c>
      <c r="AZ48" s="37"/>
      <c r="BA48" s="37">
        <v>2</v>
      </c>
      <c r="BB48" s="37" t="s">
        <v>192</v>
      </c>
      <c r="BC48" s="37">
        <v>0</v>
      </c>
      <c r="BD48" s="37">
        <f t="shared" si="77"/>
        <v>1</v>
      </c>
      <c r="BE48" s="39">
        <f t="shared" si="78"/>
        <v>0</v>
      </c>
      <c r="BF48" s="37">
        <v>0</v>
      </c>
      <c r="BG48" s="37">
        <v>0</v>
      </c>
      <c r="BH48" s="37">
        <f t="shared" si="79"/>
        <v>1</v>
      </c>
      <c r="BI48" s="37">
        <v>0</v>
      </c>
      <c r="BJ48" s="37">
        <v>7426196.8899999997</v>
      </c>
      <c r="BK48" s="37">
        <f t="shared" si="80"/>
        <v>4</v>
      </c>
      <c r="BL48" s="38">
        <f t="shared" si="81"/>
        <v>0</v>
      </c>
      <c r="BM48" s="37">
        <v>0</v>
      </c>
      <c r="BN48" s="37">
        <v>19353.91</v>
      </c>
      <c r="BO48" s="37">
        <v>0</v>
      </c>
      <c r="BP48" s="37">
        <v>14527.22</v>
      </c>
      <c r="BQ48" s="37">
        <f t="shared" si="105"/>
        <v>0</v>
      </c>
      <c r="BR48" s="39">
        <f t="shared" si="82"/>
        <v>1.1062250837544303</v>
      </c>
      <c r="BS48" s="37">
        <v>52340500</v>
      </c>
      <c r="BT48" s="37">
        <v>64.3</v>
      </c>
      <c r="BU48" s="37">
        <v>12</v>
      </c>
      <c r="BV48" s="37">
        <v>61320</v>
      </c>
      <c r="BW48" s="37">
        <f t="shared" si="104"/>
        <v>2</v>
      </c>
      <c r="BX48" s="39">
        <f t="shared" si="83"/>
        <v>0.77656801602059788</v>
      </c>
      <c r="BY48" s="37">
        <v>108579740</v>
      </c>
      <c r="BZ48" s="66">
        <v>139820000</v>
      </c>
      <c r="CA48" s="48">
        <f t="shared" si="84"/>
        <v>2</v>
      </c>
      <c r="CB48" s="49">
        <f t="shared" si="85"/>
        <v>2</v>
      </c>
      <c r="CC48" s="37">
        <v>3</v>
      </c>
      <c r="CD48" s="37">
        <v>3</v>
      </c>
      <c r="CE48" s="37">
        <v>3</v>
      </c>
      <c r="CF48" s="37">
        <f t="shared" si="86"/>
        <v>3</v>
      </c>
      <c r="CG48" s="39">
        <f t="shared" si="87"/>
        <v>1</v>
      </c>
      <c r="CH48" s="37">
        <v>2</v>
      </c>
      <c r="CI48" s="37">
        <v>2</v>
      </c>
      <c r="CJ48" s="48">
        <f t="shared" si="88"/>
        <v>0</v>
      </c>
      <c r="CK48" s="37">
        <v>1</v>
      </c>
      <c r="CL48" s="37">
        <f t="shared" si="89"/>
        <v>0</v>
      </c>
      <c r="CM48" s="37">
        <v>82</v>
      </c>
      <c r="CN48" s="50">
        <v>88</v>
      </c>
      <c r="CO48" s="48">
        <f t="shared" si="90"/>
        <v>3</v>
      </c>
      <c r="CP48" s="37"/>
      <c r="CQ48" s="48">
        <f t="shared" si="91"/>
        <v>3</v>
      </c>
      <c r="CR48" s="37"/>
      <c r="CS48" s="37"/>
      <c r="CT48" s="37"/>
      <c r="CU48" s="37"/>
      <c r="CV48" s="37">
        <f t="shared" si="92"/>
        <v>5</v>
      </c>
      <c r="CW48" s="37">
        <v>6</v>
      </c>
      <c r="CX48" s="37">
        <v>6</v>
      </c>
      <c r="CY48" s="51">
        <f t="shared" si="93"/>
        <v>4</v>
      </c>
      <c r="CZ48" s="37"/>
      <c r="DA48" s="37">
        <v>115474.85</v>
      </c>
      <c r="DB48" s="37">
        <f t="shared" si="94"/>
        <v>4</v>
      </c>
      <c r="DC48" s="39">
        <f t="shared" si="95"/>
        <v>1</v>
      </c>
      <c r="DD48" s="44">
        <v>225172533.80000001</v>
      </c>
      <c r="DE48" s="44">
        <v>225172533.80000001</v>
      </c>
      <c r="DF48" s="37">
        <f t="shared" si="96"/>
        <v>3</v>
      </c>
      <c r="DG48" s="39">
        <f t="shared" si="97"/>
        <v>0</v>
      </c>
      <c r="DH48" s="46">
        <v>0</v>
      </c>
      <c r="DI48" s="11">
        <v>225172533.80000001</v>
      </c>
      <c r="DJ48" s="37">
        <f t="shared" si="60"/>
        <v>3</v>
      </c>
      <c r="DK48" s="37"/>
      <c r="DL48" s="37"/>
      <c r="DM48" s="37">
        <f t="shared" si="98"/>
        <v>5</v>
      </c>
      <c r="DN48" s="52">
        <f t="shared" si="99"/>
        <v>1</v>
      </c>
      <c r="DO48" s="58">
        <v>28</v>
      </c>
      <c r="DP48" s="58">
        <v>28</v>
      </c>
      <c r="DQ48" s="37">
        <f t="shared" si="100"/>
        <v>4</v>
      </c>
      <c r="DR48" s="39">
        <f t="shared" si="101"/>
        <v>1</v>
      </c>
      <c r="DS48" s="58">
        <v>153</v>
      </c>
      <c r="DT48" s="58">
        <v>153</v>
      </c>
      <c r="DU48" s="54">
        <f t="shared" si="102"/>
        <v>58.99953523952</v>
      </c>
      <c r="DV48" s="55">
        <f t="shared" si="103"/>
        <v>40</v>
      </c>
      <c r="DW48" s="5"/>
    </row>
    <row r="49" spans="1:127" s="1" customFormat="1" ht="135">
      <c r="A49" s="35">
        <v>3</v>
      </c>
      <c r="B49" s="35">
        <v>17</v>
      </c>
      <c r="C49" s="56" t="s">
        <v>164</v>
      </c>
      <c r="D49" s="56" t="s">
        <v>165</v>
      </c>
      <c r="E49" s="37">
        <f>IF(F49&gt;1,0,IF(G49/H49&lt;$H$7/100,0,IF(G49/H49&gt;$G$7/100,3,$E$7*(G49/H49-$H$7/100)/(($G$7-$H$7)/100))))</f>
        <v>0</v>
      </c>
      <c r="F49" s="38">
        <f t="shared" si="62"/>
        <v>1.1154391407005171</v>
      </c>
      <c r="G49" s="57">
        <v>1591449.76</v>
      </c>
      <c r="H49" s="57">
        <v>1426747.28</v>
      </c>
      <c r="I49" s="37">
        <f>IF(K49/L49&lt;$L$7/100,0,IF(K49/L49&gt;$K$7/100,3,$I$7*(K49/L49-$L$7/100)/(($K$7-$L$7)/100)))</f>
        <v>0</v>
      </c>
      <c r="J49" s="39">
        <f t="shared" si="63"/>
        <v>0.85477646839388077</v>
      </c>
      <c r="K49" s="46">
        <v>1528807.76</v>
      </c>
      <c r="L49" s="46">
        <v>1788546.85</v>
      </c>
      <c r="M49" s="37">
        <f>IF(O49/P49&lt;$P$7/100,0,IF(O49/P49&gt;$O$7/100,3,$M$7*(O49/P49-$P$7/100)/(($O$7-$P$7)/100)))</f>
        <v>3</v>
      </c>
      <c r="N49" s="39">
        <f t="shared" si="57"/>
        <v>1.553072380952381</v>
      </c>
      <c r="O49" s="45">
        <v>1630726</v>
      </c>
      <c r="P49" s="46">
        <v>1050000</v>
      </c>
      <c r="Q49" s="37">
        <f>IF(S49/T49&lt;$T$7/100,0,IF(S49/T49&gt;$S$7/100,3,$Q$7*(S49/T49-$T$7/100)/(($S$7-$T$7)/100)))</f>
        <v>1.5716470259082116</v>
      </c>
      <c r="R49" s="39">
        <f t="shared" si="64"/>
        <v>0.85477646839388077</v>
      </c>
      <c r="S49" s="40">
        <f t="shared" si="65"/>
        <v>1528807.76</v>
      </c>
      <c r="T49" s="41">
        <v>1788546.85</v>
      </c>
      <c r="U49" s="37">
        <f t="shared" si="8"/>
        <v>3</v>
      </c>
      <c r="V49" s="39">
        <f t="shared" si="66"/>
        <v>-8.7935774432929451E-2</v>
      </c>
      <c r="W49" s="65" t="s">
        <v>166</v>
      </c>
      <c r="X49" s="8">
        <v>0</v>
      </c>
      <c r="Y49" s="8">
        <v>2853215.16</v>
      </c>
      <c r="Z49" s="8">
        <v>2853215.12</v>
      </c>
      <c r="AA49" s="40">
        <v>0</v>
      </c>
      <c r="AB49" s="40">
        <v>64893160</v>
      </c>
      <c r="AC49" s="37">
        <f t="shared" si="67"/>
        <v>0</v>
      </c>
      <c r="AD49" s="38">
        <f t="shared" si="68"/>
        <v>0.12418741551479276</v>
      </c>
      <c r="AE49" s="9">
        <v>2393268.89</v>
      </c>
      <c r="AF49" s="9">
        <v>19271428.43</v>
      </c>
      <c r="AG49" s="37">
        <f t="shared" si="69"/>
        <v>0</v>
      </c>
      <c r="AH49" s="42">
        <f t="shared" si="70"/>
        <v>8</v>
      </c>
      <c r="AI49" s="42">
        <v>24</v>
      </c>
      <c r="AJ49" s="42">
        <v>20</v>
      </c>
      <c r="AK49" s="37"/>
      <c r="AL49" s="42"/>
      <c r="AM49" s="37"/>
      <c r="AN49" s="37"/>
      <c r="AO49" s="37">
        <f t="shared" si="71"/>
        <v>2.9333617187570695</v>
      </c>
      <c r="AP49" s="39">
        <f t="shared" si="72"/>
        <v>2.2212760414310077E-2</v>
      </c>
      <c r="AQ49" s="57">
        <v>2393268.89</v>
      </c>
      <c r="AR49" s="57">
        <v>107742975</v>
      </c>
      <c r="AS49" s="37">
        <f t="shared" si="73"/>
        <v>0</v>
      </c>
      <c r="AT49" s="39">
        <f t="shared" si="74"/>
        <v>2.4513390573725653E-2</v>
      </c>
      <c r="AU49" s="45">
        <f t="shared" si="75"/>
        <v>1630726</v>
      </c>
      <c r="AV49" s="46">
        <f t="shared" si="76"/>
        <v>64893160</v>
      </c>
      <c r="AW49" s="37">
        <f t="shared" si="20"/>
        <v>2</v>
      </c>
      <c r="AX49" s="39">
        <f>AY49/AZ49-1</f>
        <v>0.21082652179095107</v>
      </c>
      <c r="AY49" s="45">
        <f>AU49</f>
        <v>1630726</v>
      </c>
      <c r="AZ49" s="46">
        <v>1346787.48</v>
      </c>
      <c r="BA49" s="37">
        <v>2</v>
      </c>
      <c r="BB49" s="46">
        <f>AY49</f>
        <v>1630726</v>
      </c>
      <c r="BC49" s="46">
        <v>0</v>
      </c>
      <c r="BD49" s="37">
        <f t="shared" si="77"/>
        <v>1</v>
      </c>
      <c r="BE49" s="39">
        <f t="shared" si="78"/>
        <v>0</v>
      </c>
      <c r="BF49" s="37">
        <v>0</v>
      </c>
      <c r="BG49" s="46">
        <v>858159.2</v>
      </c>
      <c r="BH49" s="37">
        <f t="shared" si="79"/>
        <v>1</v>
      </c>
      <c r="BI49" s="37">
        <v>0</v>
      </c>
      <c r="BJ49" s="46">
        <v>1487273.49</v>
      </c>
      <c r="BK49" s="37">
        <f t="shared" si="80"/>
        <v>4</v>
      </c>
      <c r="BL49" s="38">
        <f t="shared" si="81"/>
        <v>0</v>
      </c>
      <c r="BM49" s="46">
        <v>0</v>
      </c>
      <c r="BN49" s="46">
        <v>23877.26</v>
      </c>
      <c r="BO49" s="46">
        <v>0</v>
      </c>
      <c r="BP49" s="46">
        <v>3102.58</v>
      </c>
      <c r="BQ49" s="37">
        <f t="shared" si="105"/>
        <v>0</v>
      </c>
      <c r="BR49" s="39">
        <f t="shared" si="82"/>
        <v>1.1871926999463231</v>
      </c>
      <c r="BS49" s="37">
        <v>22117400</v>
      </c>
      <c r="BT49" s="37">
        <v>25</v>
      </c>
      <c r="BU49" s="37">
        <v>12</v>
      </c>
      <c r="BV49" s="63">
        <v>62100</v>
      </c>
      <c r="BW49" s="37">
        <f t="shared" si="104"/>
        <v>0</v>
      </c>
      <c r="BX49" s="39">
        <f t="shared" si="83"/>
        <v>0.80089655916973945</v>
      </c>
      <c r="BY49" s="46">
        <f>40920.7*1000*1.302</f>
        <v>53278751.399999999</v>
      </c>
      <c r="BZ49" s="45">
        <v>66523886</v>
      </c>
      <c r="CA49" s="48">
        <f t="shared" si="84"/>
        <v>2</v>
      </c>
      <c r="CB49" s="49">
        <f t="shared" si="85"/>
        <v>1.3333333333333333</v>
      </c>
      <c r="CC49" s="37">
        <v>3</v>
      </c>
      <c r="CD49" s="37">
        <v>1</v>
      </c>
      <c r="CE49" s="37">
        <v>3</v>
      </c>
      <c r="CF49" s="37">
        <f t="shared" si="86"/>
        <v>3</v>
      </c>
      <c r="CG49" s="39">
        <f t="shared" si="87"/>
        <v>1</v>
      </c>
      <c r="CH49" s="37">
        <v>4</v>
      </c>
      <c r="CI49" s="37">
        <v>4</v>
      </c>
      <c r="CJ49" s="48">
        <f t="shared" si="88"/>
        <v>0</v>
      </c>
      <c r="CK49" s="37">
        <v>1</v>
      </c>
      <c r="CL49" s="37">
        <f t="shared" si="89"/>
        <v>0</v>
      </c>
      <c r="CM49" s="50">
        <v>77</v>
      </c>
      <c r="CN49" s="50">
        <v>88</v>
      </c>
      <c r="CO49" s="48">
        <f t="shared" si="90"/>
        <v>3</v>
      </c>
      <c r="CP49" s="37"/>
      <c r="CQ49" s="48">
        <f t="shared" si="91"/>
        <v>3</v>
      </c>
      <c r="CR49" s="37"/>
      <c r="CS49" s="37"/>
      <c r="CT49" s="37"/>
      <c r="CU49" s="37"/>
      <c r="CV49" s="37">
        <f t="shared" si="92"/>
        <v>4.166666666666667</v>
      </c>
      <c r="CW49" s="37">
        <v>5</v>
      </c>
      <c r="CX49" s="37">
        <v>6</v>
      </c>
      <c r="CY49" s="51">
        <f t="shared" si="93"/>
        <v>4</v>
      </c>
      <c r="CZ49" s="37"/>
      <c r="DA49" s="37">
        <v>63.7</v>
      </c>
      <c r="DB49" s="37">
        <f t="shared" si="94"/>
        <v>4</v>
      </c>
      <c r="DC49" s="39">
        <f t="shared" si="95"/>
        <v>1</v>
      </c>
      <c r="DD49" s="46">
        <v>111437350.8</v>
      </c>
      <c r="DE49" s="46">
        <v>111437350.8</v>
      </c>
      <c r="DF49" s="37">
        <f t="shared" si="96"/>
        <v>3</v>
      </c>
      <c r="DG49" s="39">
        <f t="shared" si="97"/>
        <v>0</v>
      </c>
      <c r="DH49" s="46">
        <v>0</v>
      </c>
      <c r="DI49" s="46">
        <v>109908543.04000001</v>
      </c>
      <c r="DJ49" s="37">
        <f t="shared" si="60"/>
        <v>3</v>
      </c>
      <c r="DK49" s="37"/>
      <c r="DL49" s="37"/>
      <c r="DM49" s="37">
        <f t="shared" si="98"/>
        <v>5</v>
      </c>
      <c r="DN49" s="52">
        <f t="shared" si="99"/>
        <v>1</v>
      </c>
      <c r="DO49" s="64">
        <v>16</v>
      </c>
      <c r="DP49" s="64">
        <v>16</v>
      </c>
      <c r="DQ49" s="37">
        <f t="shared" si="100"/>
        <v>4</v>
      </c>
      <c r="DR49" s="39">
        <f t="shared" si="101"/>
        <v>1</v>
      </c>
      <c r="DS49" s="64">
        <v>47</v>
      </c>
      <c r="DT49" s="64">
        <v>47</v>
      </c>
      <c r="DU49" s="54">
        <f t="shared" si="102"/>
        <v>58.671675411331947</v>
      </c>
      <c r="DV49" s="55">
        <f t="shared" si="103"/>
        <v>41</v>
      </c>
      <c r="DW49" s="5"/>
    </row>
    <row r="50" spans="1:127" s="1" customFormat="1" ht="135">
      <c r="A50" s="35">
        <v>7</v>
      </c>
      <c r="B50" s="35">
        <v>15</v>
      </c>
      <c r="C50" s="56" t="s">
        <v>164</v>
      </c>
      <c r="D50" s="56" t="s">
        <v>170</v>
      </c>
      <c r="E50" s="37">
        <f>IF(F50&gt;1,0,IF(G50/H50&lt;$H$7/100,0,IF(G50/H50&gt;$G$7/100,3,$E$7*(G50/H50-$H$7/100)/(($G$7-$H$7)/100))))</f>
        <v>0</v>
      </c>
      <c r="F50" s="38">
        <f t="shared" si="62"/>
        <v>1.8246549371859297</v>
      </c>
      <c r="G50" s="57">
        <v>5809701.3200000003</v>
      </c>
      <c r="H50" s="57">
        <v>3184000</v>
      </c>
      <c r="I50" s="37">
        <f>IF(K50/L50&lt;$L$7/100,0,IF(K50/L50&gt;$K$7/100,3,$I$7*(K50/L50-$L$7/100)/(($K$7-$L$7)/100)))</f>
        <v>1.2765980890930588</v>
      </c>
      <c r="J50" s="39">
        <f t="shared" si="63"/>
        <v>0.93404261570914826</v>
      </c>
      <c r="K50" s="46">
        <v>5383334.0199999996</v>
      </c>
      <c r="L50" s="46">
        <v>5763477.9500000002</v>
      </c>
      <c r="M50" s="37">
        <f>IF(O50/P50&lt;$P$7/100,0,IF(O50/P50&gt;$O$7/100,3,$M$7*(O50/P50-$P$7/100)/(($O$7-$P$7)/100)))</f>
        <v>3</v>
      </c>
      <c r="N50" s="39">
        <f t="shared" si="57"/>
        <v>1.5330187964416535</v>
      </c>
      <c r="O50" s="45">
        <v>5859197.8399999999</v>
      </c>
      <c r="P50" s="46">
        <v>3822000</v>
      </c>
      <c r="Q50" s="37">
        <f>IF(S50/T50&lt;$T$7/100,0,IF(S50/T50&gt;$S$7/100,3,$Q$7*(S50/T50-$T$7/100)/(($S$7-$T$7)/100)))</f>
        <v>2.7606392356372238</v>
      </c>
      <c r="R50" s="39">
        <f t="shared" si="64"/>
        <v>0.93404261570914826</v>
      </c>
      <c r="S50" s="40">
        <f t="shared" si="65"/>
        <v>5383334.0199999996</v>
      </c>
      <c r="T50" s="41">
        <v>5763477.9500000002</v>
      </c>
      <c r="U50" s="37">
        <f t="shared" si="8"/>
        <v>3</v>
      </c>
      <c r="V50" s="39">
        <f t="shared" si="66"/>
        <v>-6.5844314104051782E-2</v>
      </c>
      <c r="W50" s="40">
        <v>34045.06</v>
      </c>
      <c r="X50" s="8">
        <v>0</v>
      </c>
      <c r="Y50" s="8">
        <v>2791763.82</v>
      </c>
      <c r="Z50" s="8">
        <v>2791763.82</v>
      </c>
      <c r="AA50" s="40">
        <v>0</v>
      </c>
      <c r="AB50" s="40">
        <v>84281880</v>
      </c>
      <c r="AC50" s="44">
        <f t="shared" si="67"/>
        <v>0</v>
      </c>
      <c r="AD50" s="74">
        <f t="shared" si="68"/>
        <v>0.60635412825772517</v>
      </c>
      <c r="AE50" s="9">
        <v>8292031.0800000001</v>
      </c>
      <c r="AF50" s="9">
        <v>13675228.209999997</v>
      </c>
      <c r="AG50" s="44">
        <f t="shared" si="69"/>
        <v>1</v>
      </c>
      <c r="AH50" s="43">
        <f t="shared" si="70"/>
        <v>5</v>
      </c>
      <c r="AI50" s="43">
        <v>29</v>
      </c>
      <c r="AJ50" s="43">
        <v>28</v>
      </c>
      <c r="AK50" s="44"/>
      <c r="AL50" s="43"/>
      <c r="AM50" s="75"/>
      <c r="AN50" s="44"/>
      <c r="AO50" s="37">
        <f t="shared" si="71"/>
        <v>2.7969837280409031</v>
      </c>
      <c r="AP50" s="39">
        <f t="shared" si="72"/>
        <v>6.7672090653032244E-2</v>
      </c>
      <c r="AQ50" s="9">
        <v>8292031.0800000001</v>
      </c>
      <c r="AR50" s="9">
        <v>122532509.34</v>
      </c>
      <c r="AS50" s="44">
        <f t="shared" si="73"/>
        <v>0</v>
      </c>
      <c r="AT50" s="76">
        <f t="shared" si="74"/>
        <v>6.5000308188016664E-2</v>
      </c>
      <c r="AU50" s="45">
        <f t="shared" si="75"/>
        <v>5859197.8399999999</v>
      </c>
      <c r="AV50" s="46">
        <f t="shared" si="76"/>
        <v>84281880</v>
      </c>
      <c r="AW50" s="44">
        <f t="shared" si="20"/>
        <v>2</v>
      </c>
      <c r="AX50" s="76">
        <f>AY50/AZ50-1</f>
        <v>0.33057797856117244</v>
      </c>
      <c r="AY50" s="45">
        <f>AU50</f>
        <v>5859197.8399999999</v>
      </c>
      <c r="AZ50" s="11">
        <v>4403498.28</v>
      </c>
      <c r="BA50" s="44">
        <v>2</v>
      </c>
      <c r="BB50" s="46">
        <f>AY50</f>
        <v>5859197.8399999999</v>
      </c>
      <c r="BC50" s="46">
        <v>0</v>
      </c>
      <c r="BD50" s="44">
        <f t="shared" si="77"/>
        <v>1</v>
      </c>
      <c r="BE50" s="76">
        <f t="shared" si="78"/>
        <v>0</v>
      </c>
      <c r="BF50" s="37">
        <v>0</v>
      </c>
      <c r="BG50" s="11">
        <v>11900796.390000001</v>
      </c>
      <c r="BH50" s="44">
        <f t="shared" si="79"/>
        <v>1</v>
      </c>
      <c r="BI50" s="37">
        <v>0</v>
      </c>
      <c r="BJ50" s="11">
        <v>1786983.08</v>
      </c>
      <c r="BK50" s="44">
        <f t="shared" si="80"/>
        <v>4</v>
      </c>
      <c r="BL50" s="74">
        <f t="shared" si="81"/>
        <v>0</v>
      </c>
      <c r="BM50" s="46">
        <v>0</v>
      </c>
      <c r="BN50" s="11">
        <v>72173.25</v>
      </c>
      <c r="BO50" s="46">
        <v>0</v>
      </c>
      <c r="BP50" s="11">
        <v>5780.15</v>
      </c>
      <c r="BQ50" s="44">
        <f t="shared" si="105"/>
        <v>0</v>
      </c>
      <c r="BR50" s="76">
        <f t="shared" si="82"/>
        <v>1.2366202519655205</v>
      </c>
      <c r="BS50" s="44">
        <v>23499000</v>
      </c>
      <c r="BT50" s="75">
        <v>25.5</v>
      </c>
      <c r="BU50" s="44">
        <v>12</v>
      </c>
      <c r="BV50" s="77">
        <v>62100</v>
      </c>
      <c r="BW50" s="44">
        <f t="shared" si="104"/>
        <v>0</v>
      </c>
      <c r="BX50" s="76">
        <f t="shared" si="83"/>
        <v>0.66487581284949937</v>
      </c>
      <c r="BY50" s="11">
        <f>46031.2*1000*1.302</f>
        <v>59932622.399999999</v>
      </c>
      <c r="BZ50" s="10">
        <v>90141077.840000004</v>
      </c>
      <c r="CA50" s="78">
        <f t="shared" si="84"/>
        <v>2</v>
      </c>
      <c r="CB50" s="79">
        <f t="shared" si="85"/>
        <v>1.3333333333333333</v>
      </c>
      <c r="CC50" s="44">
        <v>2</v>
      </c>
      <c r="CD50" s="44">
        <v>2</v>
      </c>
      <c r="CE50" s="44">
        <v>3</v>
      </c>
      <c r="CF50" s="44">
        <f t="shared" si="86"/>
        <v>3</v>
      </c>
      <c r="CG50" s="76">
        <f t="shared" si="87"/>
        <v>1</v>
      </c>
      <c r="CH50" s="44">
        <v>2</v>
      </c>
      <c r="CI50" s="44">
        <v>2</v>
      </c>
      <c r="CJ50" s="78">
        <f t="shared" si="88"/>
        <v>0</v>
      </c>
      <c r="CK50" s="75">
        <v>1</v>
      </c>
      <c r="CL50" s="44">
        <f t="shared" si="89"/>
        <v>0</v>
      </c>
      <c r="CM50" s="80">
        <v>74</v>
      </c>
      <c r="CN50" s="80">
        <v>88</v>
      </c>
      <c r="CO50" s="48">
        <f t="shared" si="90"/>
        <v>3</v>
      </c>
      <c r="CP50" s="37"/>
      <c r="CQ50" s="48">
        <f t="shared" si="91"/>
        <v>3</v>
      </c>
      <c r="CR50" s="81"/>
      <c r="CS50" s="37"/>
      <c r="CT50" s="37"/>
      <c r="CU50" s="37"/>
      <c r="CV50" s="37">
        <f t="shared" si="92"/>
        <v>4.166666666666667</v>
      </c>
      <c r="CW50" s="37">
        <v>5</v>
      </c>
      <c r="CX50" s="37">
        <v>6</v>
      </c>
      <c r="CY50" s="51">
        <f t="shared" si="93"/>
        <v>0</v>
      </c>
      <c r="CZ50" s="37">
        <v>1</v>
      </c>
      <c r="DA50" s="37">
        <v>69.42</v>
      </c>
      <c r="DB50" s="37">
        <f t="shared" si="94"/>
        <v>4</v>
      </c>
      <c r="DC50" s="39">
        <f t="shared" si="95"/>
        <v>1</v>
      </c>
      <c r="DD50" s="46">
        <v>122261953.03</v>
      </c>
      <c r="DE50" s="46">
        <v>122261953.03</v>
      </c>
      <c r="DF50" s="37">
        <f t="shared" si="96"/>
        <v>3</v>
      </c>
      <c r="DG50" s="39">
        <f t="shared" si="97"/>
        <v>0</v>
      </c>
      <c r="DH50" s="46">
        <v>0</v>
      </c>
      <c r="DI50" s="46">
        <v>116878619.01000001</v>
      </c>
      <c r="DJ50" s="37">
        <f t="shared" si="60"/>
        <v>3</v>
      </c>
      <c r="DK50" s="37"/>
      <c r="DL50" s="37"/>
      <c r="DM50" s="37">
        <f t="shared" si="98"/>
        <v>5</v>
      </c>
      <c r="DN50" s="52">
        <f t="shared" si="99"/>
        <v>1</v>
      </c>
      <c r="DO50" s="64">
        <v>12</v>
      </c>
      <c r="DP50" s="64">
        <v>12</v>
      </c>
      <c r="DQ50" s="37">
        <f t="shared" si="100"/>
        <v>4</v>
      </c>
      <c r="DR50" s="39">
        <f t="shared" si="101"/>
        <v>1</v>
      </c>
      <c r="DS50" s="64">
        <v>59</v>
      </c>
      <c r="DT50" s="64">
        <v>59</v>
      </c>
      <c r="DU50" s="54">
        <f t="shared" si="102"/>
        <v>58.000887719437848</v>
      </c>
      <c r="DV50" s="55">
        <f t="shared" si="103"/>
        <v>42</v>
      </c>
      <c r="DW50" s="5"/>
    </row>
    <row r="51" spans="1:127" s="1" customFormat="1" ht="135">
      <c r="A51" s="35">
        <v>51</v>
      </c>
      <c r="B51" s="35">
        <v>58</v>
      </c>
      <c r="C51" s="56" t="s">
        <v>164</v>
      </c>
      <c r="D51" s="56" t="s">
        <v>217</v>
      </c>
      <c r="E51" s="37"/>
      <c r="F51" s="38">
        <f t="shared" si="62"/>
        <v>0</v>
      </c>
      <c r="G51" s="57">
        <v>0</v>
      </c>
      <c r="H51" s="57">
        <v>0</v>
      </c>
      <c r="I51" s="37"/>
      <c r="J51" s="39">
        <f t="shared" si="63"/>
        <v>0</v>
      </c>
      <c r="K51" s="46">
        <v>0</v>
      </c>
      <c r="L51" s="46">
        <v>0</v>
      </c>
      <c r="M51" s="37"/>
      <c r="N51" s="39">
        <f t="shared" si="57"/>
        <v>0</v>
      </c>
      <c r="O51" s="45">
        <v>0</v>
      </c>
      <c r="P51" s="46">
        <v>0</v>
      </c>
      <c r="Q51" s="37"/>
      <c r="R51" s="39">
        <f t="shared" si="64"/>
        <v>0</v>
      </c>
      <c r="S51" s="40">
        <f t="shared" si="65"/>
        <v>0</v>
      </c>
      <c r="T51" s="41">
        <v>0</v>
      </c>
      <c r="U51" s="37">
        <v>3</v>
      </c>
      <c r="V51" s="39">
        <f t="shared" si="66"/>
        <v>4.4831996061499658E-2</v>
      </c>
      <c r="W51" s="40">
        <v>4597688.91</v>
      </c>
      <c r="X51" s="8">
        <v>0</v>
      </c>
      <c r="Y51" s="8">
        <v>507158.39</v>
      </c>
      <c r="Z51" s="8">
        <v>507158.39</v>
      </c>
      <c r="AA51" s="40">
        <v>0</v>
      </c>
      <c r="AB51" s="40">
        <v>79928900</v>
      </c>
      <c r="AC51" s="37">
        <f t="shared" si="67"/>
        <v>3</v>
      </c>
      <c r="AD51" s="38">
        <f t="shared" si="68"/>
        <v>0</v>
      </c>
      <c r="AE51" s="57">
        <v>0</v>
      </c>
      <c r="AF51" s="57">
        <v>341244.88999999966</v>
      </c>
      <c r="AG51" s="37">
        <f t="shared" si="69"/>
        <v>1</v>
      </c>
      <c r="AH51" s="42">
        <f t="shared" si="70"/>
        <v>4</v>
      </c>
      <c r="AI51" s="42">
        <v>13</v>
      </c>
      <c r="AJ51" s="42">
        <v>13</v>
      </c>
      <c r="AK51" s="37"/>
      <c r="AL51" s="42"/>
      <c r="AM51" s="37"/>
      <c r="AN51" s="37"/>
      <c r="AO51" s="37">
        <f t="shared" si="71"/>
        <v>3</v>
      </c>
      <c r="AP51" s="39">
        <f t="shared" si="72"/>
        <v>0</v>
      </c>
      <c r="AQ51" s="57"/>
      <c r="AR51" s="57">
        <v>85411813.790000007</v>
      </c>
      <c r="AS51" s="37">
        <f t="shared" si="73"/>
        <v>0</v>
      </c>
      <c r="AT51" s="39">
        <f t="shared" si="74"/>
        <v>0</v>
      </c>
      <c r="AU51" s="45">
        <f t="shared" si="75"/>
        <v>0</v>
      </c>
      <c r="AV51" s="46">
        <f t="shared" si="76"/>
        <v>79928900</v>
      </c>
      <c r="AW51" s="37">
        <f t="shared" si="20"/>
        <v>0</v>
      </c>
      <c r="AX51" s="39"/>
      <c r="AY51" s="66">
        <v>0</v>
      </c>
      <c r="AZ51" s="37"/>
      <c r="BA51" s="37">
        <v>2</v>
      </c>
      <c r="BB51" s="37"/>
      <c r="BC51" s="37">
        <v>0</v>
      </c>
      <c r="BD51" s="37">
        <f t="shared" si="77"/>
        <v>1</v>
      </c>
      <c r="BE51" s="39">
        <f t="shared" si="78"/>
        <v>0</v>
      </c>
      <c r="BF51" s="37">
        <v>0</v>
      </c>
      <c r="BG51" s="37">
        <v>21656.46</v>
      </c>
      <c r="BH51" s="37">
        <f t="shared" si="79"/>
        <v>1</v>
      </c>
      <c r="BI51" s="37">
        <v>0</v>
      </c>
      <c r="BJ51" s="37">
        <v>3679105.35</v>
      </c>
      <c r="BK51" s="37">
        <f t="shared" si="80"/>
        <v>4</v>
      </c>
      <c r="BL51" s="38">
        <f t="shared" si="81"/>
        <v>0</v>
      </c>
      <c r="BM51" s="37">
        <v>0</v>
      </c>
      <c r="BN51" s="37">
        <v>27274.18</v>
      </c>
      <c r="BO51" s="37">
        <v>0</v>
      </c>
      <c r="BP51" s="37">
        <v>8637.06</v>
      </c>
      <c r="BQ51" s="37">
        <f t="shared" si="105"/>
        <v>0</v>
      </c>
      <c r="BR51" s="39">
        <f t="shared" si="82"/>
        <v>1.1588700824655926</v>
      </c>
      <c r="BS51" s="37">
        <v>23024059.960000001</v>
      </c>
      <c r="BT51" s="37">
        <v>27</v>
      </c>
      <c r="BU51" s="37">
        <v>12</v>
      </c>
      <c r="BV51" s="44">
        <v>61320</v>
      </c>
      <c r="BW51" s="37">
        <f t="shared" si="104"/>
        <v>2</v>
      </c>
      <c r="BX51" s="39">
        <f t="shared" si="83"/>
        <v>0.73830311339202714</v>
      </c>
      <c r="BY51" s="37">
        <v>59011755.719999999</v>
      </c>
      <c r="BZ51" s="66">
        <v>79928900</v>
      </c>
      <c r="CA51" s="48">
        <f t="shared" si="84"/>
        <v>2</v>
      </c>
      <c r="CB51" s="49">
        <f t="shared" si="85"/>
        <v>2</v>
      </c>
      <c r="CC51" s="37">
        <v>3</v>
      </c>
      <c r="CD51" s="37">
        <v>3</v>
      </c>
      <c r="CE51" s="37">
        <v>3</v>
      </c>
      <c r="CF51" s="37">
        <f t="shared" si="86"/>
        <v>3</v>
      </c>
      <c r="CG51" s="39">
        <f t="shared" si="87"/>
        <v>1</v>
      </c>
      <c r="CH51" s="37">
        <v>3</v>
      </c>
      <c r="CI51" s="37">
        <v>3</v>
      </c>
      <c r="CJ51" s="48">
        <f t="shared" si="88"/>
        <v>0</v>
      </c>
      <c r="CK51" s="37">
        <v>1</v>
      </c>
      <c r="CL51" s="37">
        <f t="shared" si="89"/>
        <v>0</v>
      </c>
      <c r="CM51" s="37">
        <v>72</v>
      </c>
      <c r="CN51" s="50">
        <v>88</v>
      </c>
      <c r="CO51" s="48">
        <f t="shared" si="90"/>
        <v>3</v>
      </c>
      <c r="CP51" s="37"/>
      <c r="CQ51" s="48">
        <f t="shared" si="91"/>
        <v>3</v>
      </c>
      <c r="CR51" s="37"/>
      <c r="CS51" s="37"/>
      <c r="CT51" s="37"/>
      <c r="CU51" s="37"/>
      <c r="CV51" s="37">
        <f t="shared" si="92"/>
        <v>5</v>
      </c>
      <c r="CW51" s="37">
        <v>11</v>
      </c>
      <c r="CX51" s="37">
        <v>11</v>
      </c>
      <c r="CY51" s="51">
        <f t="shared" si="93"/>
        <v>4</v>
      </c>
      <c r="CZ51" s="37"/>
      <c r="DA51" s="37">
        <v>15.6</v>
      </c>
      <c r="DB51" s="37">
        <f t="shared" si="94"/>
        <v>2.9647949171200301</v>
      </c>
      <c r="DC51" s="39">
        <f t="shared" si="95"/>
        <v>0.94635583480640095</v>
      </c>
      <c r="DD51" s="44">
        <v>81107.899999999994</v>
      </c>
      <c r="DE51" s="44">
        <v>85705.5</v>
      </c>
      <c r="DF51" s="37">
        <f t="shared" si="96"/>
        <v>3</v>
      </c>
      <c r="DG51" s="39">
        <f t="shared" si="97"/>
        <v>0</v>
      </c>
      <c r="DH51" s="46">
        <v>0</v>
      </c>
      <c r="DI51" s="11">
        <v>81107.899999999994</v>
      </c>
      <c r="DJ51" s="37">
        <f t="shared" si="60"/>
        <v>3</v>
      </c>
      <c r="DK51" s="37"/>
      <c r="DL51" s="37"/>
      <c r="DM51" s="37">
        <f t="shared" si="98"/>
        <v>5</v>
      </c>
      <c r="DN51" s="52">
        <f t="shared" si="99"/>
        <v>1</v>
      </c>
      <c r="DO51" s="53">
        <v>29</v>
      </c>
      <c r="DP51" s="53">
        <v>29</v>
      </c>
      <c r="DQ51" s="37">
        <f t="shared" si="100"/>
        <v>4</v>
      </c>
      <c r="DR51" s="39">
        <f t="shared" si="101"/>
        <v>1</v>
      </c>
      <c r="DS51" s="58">
        <v>67</v>
      </c>
      <c r="DT51" s="58">
        <v>67</v>
      </c>
      <c r="DU51" s="54">
        <f t="shared" si="102"/>
        <v>57.964794917120031</v>
      </c>
      <c r="DV51" s="55">
        <f t="shared" si="103"/>
        <v>43</v>
      </c>
      <c r="DW51" s="5"/>
    </row>
    <row r="52" spans="1:127" ht="135">
      <c r="A52" s="35">
        <v>20</v>
      </c>
      <c r="B52" s="35">
        <v>29</v>
      </c>
      <c r="C52" s="56" t="s">
        <v>164</v>
      </c>
      <c r="D52" s="56" t="s">
        <v>183</v>
      </c>
      <c r="E52" s="37">
        <f>IF(F52&gt;1,0,IF(G52/H52&lt;$H$7/100,0,IF(G52/H52&gt;$G$7/100,3,$E$7*(G52/H52-$H$7/100)/(($G$7-$H$7)/100))))</f>
        <v>0</v>
      </c>
      <c r="F52" s="38">
        <f t="shared" si="62"/>
        <v>2.1515322613371208</v>
      </c>
      <c r="G52" s="57">
        <v>424153.07</v>
      </c>
      <c r="H52" s="57">
        <v>197140</v>
      </c>
      <c r="I52" s="37">
        <f>IF(K52/L52&lt;$L$7/100,0,IF(K52/L52&gt;$K$7/100,3,$I$7*(K52/L52-$L$7/100)/(($K$7-$L$7)/100)))</f>
        <v>0</v>
      </c>
      <c r="J52" s="39">
        <f t="shared" si="63"/>
        <v>0.60522920033075411</v>
      </c>
      <c r="K52" s="46">
        <v>288288.71000000002</v>
      </c>
      <c r="L52" s="46">
        <v>476329.81</v>
      </c>
      <c r="M52" s="37">
        <f>IF(O52/P52&lt;$P$7/100,0,IF(O52/P52&gt;$O$7/100,3,$M$7*(O52/P52-$P$7/100)/(($O$7-$P$7)/100)))</f>
        <v>3</v>
      </c>
      <c r="N52" s="39">
        <f t="shared" si="57"/>
        <v>1.4138435666666667</v>
      </c>
      <c r="O52" s="45">
        <v>424153.07</v>
      </c>
      <c r="P52" s="46">
        <v>300000</v>
      </c>
      <c r="Q52" s="37">
        <f>IF(S52/T52&lt;$T$7/100,0,IF(S52/T52&gt;$S$7/100,3,$Q$7*(S52/T52-$T$7/100)/(($S$7-$T$7)/100)))</f>
        <v>0</v>
      </c>
      <c r="R52" s="39">
        <f t="shared" si="64"/>
        <v>0.60522920033075411</v>
      </c>
      <c r="S52" s="40">
        <f t="shared" si="65"/>
        <v>288288.71000000002</v>
      </c>
      <c r="T52" s="41">
        <v>476329.81</v>
      </c>
      <c r="U52" s="37">
        <f t="shared" ref="U52:U67" si="106">IF(W52=0,3,IF(V52&lt;0.01,3,IF(V52&gt;0.05,0,V52/(0.05-0.01)*3)))</f>
        <v>3</v>
      </c>
      <c r="V52" s="39">
        <f t="shared" si="66"/>
        <v>-3.9707527095308448E-2</v>
      </c>
      <c r="W52" s="40">
        <v>484789.93</v>
      </c>
      <c r="X52" s="8">
        <v>422939.93</v>
      </c>
      <c r="Y52" s="8">
        <v>830525.4</v>
      </c>
      <c r="Z52" s="8">
        <v>830525.4</v>
      </c>
      <c r="AA52" s="40">
        <v>0</v>
      </c>
      <c r="AB52" s="40">
        <v>40274500</v>
      </c>
      <c r="AC52" s="37">
        <f t="shared" si="67"/>
        <v>0</v>
      </c>
      <c r="AD52" s="38">
        <f t="shared" si="68"/>
        <v>8.2583590851127819E-2</v>
      </c>
      <c r="AE52" s="57">
        <v>749812</v>
      </c>
      <c r="AF52" s="57">
        <v>9079430.8200000003</v>
      </c>
      <c r="AG52" s="37">
        <f t="shared" si="69"/>
        <v>1</v>
      </c>
      <c r="AH52" s="42">
        <f t="shared" si="70"/>
        <v>6</v>
      </c>
      <c r="AI52" s="42">
        <v>19</v>
      </c>
      <c r="AJ52" s="42">
        <v>17</v>
      </c>
      <c r="AK52" s="37"/>
      <c r="AL52" s="42"/>
      <c r="AM52" s="37"/>
      <c r="AN52" s="37"/>
      <c r="AO52" s="37">
        <f t="shared" si="71"/>
        <v>2.9606460749479258</v>
      </c>
      <c r="AP52" s="39">
        <f t="shared" si="72"/>
        <v>1.3117975017358121E-2</v>
      </c>
      <c r="AQ52" s="57">
        <v>749812</v>
      </c>
      <c r="AR52" s="57">
        <v>57159127</v>
      </c>
      <c r="AS52" s="37">
        <f t="shared" si="73"/>
        <v>0</v>
      </c>
      <c r="AT52" s="39">
        <f t="shared" si="74"/>
        <v>1.0421796251351962E-2</v>
      </c>
      <c r="AU52" s="45">
        <f t="shared" si="75"/>
        <v>424153.07</v>
      </c>
      <c r="AV52" s="46">
        <f t="shared" si="76"/>
        <v>40274500</v>
      </c>
      <c r="AW52" s="37">
        <f t="shared" si="20"/>
        <v>2</v>
      </c>
      <c r="AX52" s="39">
        <f>AY52/AZ52-1</f>
        <v>0.73104667592877748</v>
      </c>
      <c r="AY52" s="45">
        <f>AU52</f>
        <v>424153.07</v>
      </c>
      <c r="AZ52" s="46">
        <v>245026.94</v>
      </c>
      <c r="BA52" s="37">
        <v>2</v>
      </c>
      <c r="BB52" s="46">
        <f>AY52</f>
        <v>424153.07</v>
      </c>
      <c r="BC52" s="46">
        <v>0</v>
      </c>
      <c r="BD52" s="37">
        <f t="shared" si="77"/>
        <v>1</v>
      </c>
      <c r="BE52" s="39">
        <f t="shared" si="78"/>
        <v>0</v>
      </c>
      <c r="BF52" s="37">
        <v>0</v>
      </c>
      <c r="BG52" s="46">
        <v>1042887.92</v>
      </c>
      <c r="BH52" s="37">
        <f t="shared" si="79"/>
        <v>1</v>
      </c>
      <c r="BI52" s="37">
        <v>0</v>
      </c>
      <c r="BJ52" s="46">
        <v>69025</v>
      </c>
      <c r="BK52" s="37">
        <f t="shared" si="80"/>
        <v>4</v>
      </c>
      <c r="BL52" s="38">
        <f t="shared" si="81"/>
        <v>0</v>
      </c>
      <c r="BM52" s="46">
        <v>0</v>
      </c>
      <c r="BN52" s="46">
        <v>8518.4500000000007</v>
      </c>
      <c r="BO52" s="46">
        <v>0</v>
      </c>
      <c r="BP52" s="46">
        <v>1799.74</v>
      </c>
      <c r="BQ52" s="37">
        <f t="shared" si="105"/>
        <v>2</v>
      </c>
      <c r="BR52" s="39">
        <f t="shared" si="82"/>
        <v>0.99486714975845414</v>
      </c>
      <c r="BS52" s="37">
        <v>11862000</v>
      </c>
      <c r="BT52" s="37">
        <v>16</v>
      </c>
      <c r="BU52" s="37">
        <v>12</v>
      </c>
      <c r="BV52" s="63">
        <v>62100</v>
      </c>
      <c r="BW52" s="37">
        <f t="shared" si="104"/>
        <v>0</v>
      </c>
      <c r="BX52" s="39">
        <f t="shared" si="83"/>
        <v>0.80410598217372409</v>
      </c>
      <c r="BY52" s="46">
        <f>25135.2*1000*1.302</f>
        <v>32726030.400000002</v>
      </c>
      <c r="BZ52" s="45">
        <v>40698653.07</v>
      </c>
      <c r="CA52" s="48">
        <f t="shared" si="84"/>
        <v>2</v>
      </c>
      <c r="CB52" s="49">
        <f t="shared" si="85"/>
        <v>2</v>
      </c>
      <c r="CC52" s="37">
        <v>4</v>
      </c>
      <c r="CD52" s="37">
        <v>4</v>
      </c>
      <c r="CE52" s="37">
        <v>4</v>
      </c>
      <c r="CF52" s="37">
        <f t="shared" si="86"/>
        <v>3</v>
      </c>
      <c r="CG52" s="39">
        <f t="shared" si="87"/>
        <v>1</v>
      </c>
      <c r="CH52" s="37">
        <v>2</v>
      </c>
      <c r="CI52" s="37">
        <v>2</v>
      </c>
      <c r="CJ52" s="48">
        <f t="shared" si="88"/>
        <v>0</v>
      </c>
      <c r="CK52" s="37">
        <v>1</v>
      </c>
      <c r="CL52" s="37">
        <f t="shared" si="89"/>
        <v>0</v>
      </c>
      <c r="CM52" s="50">
        <v>78</v>
      </c>
      <c r="CN52" s="50">
        <v>88</v>
      </c>
      <c r="CO52" s="48">
        <f t="shared" si="90"/>
        <v>3</v>
      </c>
      <c r="CP52" s="37"/>
      <c r="CQ52" s="48">
        <f t="shared" si="91"/>
        <v>0</v>
      </c>
      <c r="CR52" s="37">
        <v>1</v>
      </c>
      <c r="CS52" s="37"/>
      <c r="CT52" s="37"/>
      <c r="CU52" s="37"/>
      <c r="CV52" s="37">
        <f t="shared" si="92"/>
        <v>5</v>
      </c>
      <c r="CW52" s="37">
        <v>6</v>
      </c>
      <c r="CX52" s="37">
        <v>6</v>
      </c>
      <c r="CY52" s="51">
        <f t="shared" si="93"/>
        <v>4</v>
      </c>
      <c r="CZ52" s="37"/>
      <c r="DA52" s="37">
        <v>34.97</v>
      </c>
      <c r="DB52" s="37">
        <f t="shared" si="94"/>
        <v>4</v>
      </c>
      <c r="DC52" s="39">
        <f t="shared" si="95"/>
        <v>1</v>
      </c>
      <c r="DD52" s="46">
        <v>56260439.640000001</v>
      </c>
      <c r="DE52" s="46">
        <v>56260439.640000001</v>
      </c>
      <c r="DF52" s="37">
        <f t="shared" si="96"/>
        <v>3</v>
      </c>
      <c r="DG52" s="39">
        <f t="shared" si="97"/>
        <v>0</v>
      </c>
      <c r="DH52" s="46">
        <v>0</v>
      </c>
      <c r="DI52" s="46">
        <v>55972150.93</v>
      </c>
      <c r="DJ52" s="37">
        <f t="shared" si="60"/>
        <v>3</v>
      </c>
      <c r="DK52" s="37"/>
      <c r="DL52" s="37"/>
      <c r="DM52" s="37">
        <f t="shared" si="98"/>
        <v>5</v>
      </c>
      <c r="DN52" s="52">
        <f t="shared" si="99"/>
        <v>1</v>
      </c>
      <c r="DO52" s="64">
        <v>10</v>
      </c>
      <c r="DP52" s="64">
        <v>10</v>
      </c>
      <c r="DQ52" s="37">
        <f t="shared" si="100"/>
        <v>4</v>
      </c>
      <c r="DR52" s="39">
        <f t="shared" si="101"/>
        <v>1</v>
      </c>
      <c r="DS52" s="64">
        <v>41</v>
      </c>
      <c r="DT52" s="64">
        <v>41</v>
      </c>
      <c r="DU52" s="54">
        <f t="shared" si="102"/>
        <v>57.960646074947924</v>
      </c>
      <c r="DV52" s="55">
        <f t="shared" si="103"/>
        <v>44</v>
      </c>
      <c r="DW52" s="4"/>
    </row>
    <row r="53" spans="1:127" ht="120">
      <c r="A53" s="35">
        <v>22</v>
      </c>
      <c r="B53" s="35">
        <v>31</v>
      </c>
      <c r="C53" s="56" t="s">
        <v>164</v>
      </c>
      <c r="D53" s="56" t="s">
        <v>185</v>
      </c>
      <c r="E53" s="37">
        <f>IF(F53&gt;1,0,IF(G53/H53&lt;$H$7/100,0,IF(G53/H53&gt;$G$7/100,3,$E$7*(G53/H53-$H$7/100)/(($G$7-$H$7)/100))))</f>
        <v>1.0967271423388518</v>
      </c>
      <c r="F53" s="38">
        <f t="shared" si="62"/>
        <v>0.92924605712903607</v>
      </c>
      <c r="G53" s="69">
        <v>25204720.510000002</v>
      </c>
      <c r="H53" s="69">
        <v>27123839.07</v>
      </c>
      <c r="I53" s="37">
        <f>IF(K53/L53&lt;$L$7/100,0,IF(K53/L53&gt;$K$7/100,3,$I$7*(K53/L53-$L$7/100)/(($K$7-$L$7)/100)))</f>
        <v>0</v>
      </c>
      <c r="J53" s="39">
        <f t="shared" si="63"/>
        <v>0.60114411035362425</v>
      </c>
      <c r="K53" s="70">
        <v>15491666.67</v>
      </c>
      <c r="L53" s="70">
        <v>25770304.329999998</v>
      </c>
      <c r="M53" s="37">
        <f>IF(O53/P53&lt;$P$7/100,0,IF(O53/P53&gt;$O$7/100,3,$M$7*(O53/P53-$P$7/100)/(($O$7-$P$7)/100)))</f>
        <v>0</v>
      </c>
      <c r="N53" s="39">
        <f t="shared" si="57"/>
        <v>0.57232525663195855</v>
      </c>
      <c r="O53" s="45">
        <v>15555228.15</v>
      </c>
      <c r="P53" s="70">
        <v>27179000</v>
      </c>
      <c r="Q53" s="37">
        <f>IF(S53/T53&lt;$T$7/100,0,IF(S53/T53&gt;$S$7/100,3,$Q$7*(S53/T53-$T$7/100)/(($S$7-$T$7)/100)))</f>
        <v>0</v>
      </c>
      <c r="R53" s="39">
        <f t="shared" si="64"/>
        <v>0.60114411035362425</v>
      </c>
      <c r="S53" s="40">
        <f t="shared" si="65"/>
        <v>15491666.67</v>
      </c>
      <c r="T53" s="41">
        <v>25770304.329999998</v>
      </c>
      <c r="U53" s="37">
        <f t="shared" si="106"/>
        <v>3</v>
      </c>
      <c r="V53" s="39">
        <f t="shared" si="66"/>
        <v>-0.32864387989983623</v>
      </c>
      <c r="W53" s="65">
        <v>361436.62</v>
      </c>
      <c r="X53" s="8">
        <v>0</v>
      </c>
      <c r="Y53" s="8">
        <v>19538556.859999999</v>
      </c>
      <c r="Z53" s="8">
        <v>8121355</v>
      </c>
      <c r="AA53" s="40">
        <v>0</v>
      </c>
      <c r="AB53" s="71">
        <v>83064000</v>
      </c>
      <c r="AC53" s="37">
        <f t="shared" si="67"/>
        <v>0</v>
      </c>
      <c r="AD53" s="38">
        <f t="shared" si="68"/>
        <v>3.412038888300855E-2</v>
      </c>
      <c r="AE53" s="69">
        <v>605393.25</v>
      </c>
      <c r="AF53" s="69">
        <v>17742859.030000005</v>
      </c>
      <c r="AG53" s="37">
        <f t="shared" si="69"/>
        <v>0</v>
      </c>
      <c r="AH53" s="42">
        <f t="shared" si="70"/>
        <v>8</v>
      </c>
      <c r="AI53" s="48">
        <v>30</v>
      </c>
      <c r="AJ53" s="48">
        <v>26</v>
      </c>
      <c r="AK53" s="37"/>
      <c r="AL53" s="42"/>
      <c r="AM53" s="37"/>
      <c r="AN53" s="37"/>
      <c r="AO53" s="37">
        <f t="shared" si="71"/>
        <v>2.984890389336897</v>
      </c>
      <c r="AP53" s="39">
        <f t="shared" si="72"/>
        <v>5.0365368877010493E-3</v>
      </c>
      <c r="AQ53" s="57">
        <v>605393.25</v>
      </c>
      <c r="AR53" s="57">
        <v>120200301.02</v>
      </c>
      <c r="AS53" s="37">
        <f t="shared" si="73"/>
        <v>0</v>
      </c>
      <c r="AT53" s="39">
        <f t="shared" si="74"/>
        <v>0.15773017536033107</v>
      </c>
      <c r="AU53" s="45">
        <f t="shared" si="75"/>
        <v>15555228.15</v>
      </c>
      <c r="AV53" s="46">
        <f t="shared" si="76"/>
        <v>83064000</v>
      </c>
      <c r="AW53" s="37">
        <f t="shared" si="20"/>
        <v>0</v>
      </c>
      <c r="AX53" s="39">
        <f>AY53/AZ53-1</f>
        <v>-0.14340966844002423</v>
      </c>
      <c r="AY53" s="45">
        <f>AU53</f>
        <v>15555228.15</v>
      </c>
      <c r="AZ53" s="70">
        <v>18159472.010000002</v>
      </c>
      <c r="BA53" s="37">
        <v>2</v>
      </c>
      <c r="BB53" s="46">
        <f>AY53</f>
        <v>15555228.15</v>
      </c>
      <c r="BC53" s="46">
        <v>0</v>
      </c>
      <c r="BD53" s="37">
        <f t="shared" si="77"/>
        <v>1</v>
      </c>
      <c r="BE53" s="39">
        <f t="shared" si="78"/>
        <v>0</v>
      </c>
      <c r="BF53" s="37">
        <v>0</v>
      </c>
      <c r="BG53" s="70">
        <v>21815605.170000002</v>
      </c>
      <c r="BH53" s="37">
        <f t="shared" si="79"/>
        <v>1</v>
      </c>
      <c r="BI53" s="37">
        <v>0</v>
      </c>
      <c r="BJ53" s="70">
        <v>8252491.3499999996</v>
      </c>
      <c r="BK53" s="37">
        <f t="shared" si="80"/>
        <v>4</v>
      </c>
      <c r="BL53" s="38">
        <f t="shared" si="81"/>
        <v>0</v>
      </c>
      <c r="BM53" s="46">
        <v>0</v>
      </c>
      <c r="BN53" s="70">
        <v>33396.94</v>
      </c>
      <c r="BO53" s="46">
        <v>0</v>
      </c>
      <c r="BP53" s="70">
        <v>9238.98</v>
      </c>
      <c r="BQ53" s="37">
        <f t="shared" si="105"/>
        <v>2</v>
      </c>
      <c r="BR53" s="39">
        <f t="shared" si="82"/>
        <v>0.96762645613220333</v>
      </c>
      <c r="BS53" s="64">
        <v>23002300</v>
      </c>
      <c r="BT53" s="64">
        <v>31.9</v>
      </c>
      <c r="BU53" s="64">
        <v>12</v>
      </c>
      <c r="BV53" s="63">
        <v>62100</v>
      </c>
      <c r="BW53" s="37">
        <f t="shared" si="104"/>
        <v>2</v>
      </c>
      <c r="BX53" s="39">
        <f t="shared" si="83"/>
        <v>0.77062051514342544</v>
      </c>
      <c r="BY53" s="70">
        <f>58370.2*1000*1.302</f>
        <v>75998000.400000006</v>
      </c>
      <c r="BZ53" s="45">
        <v>98619228.150000006</v>
      </c>
      <c r="CA53" s="48">
        <f t="shared" si="84"/>
        <v>2</v>
      </c>
      <c r="CB53" s="49">
        <f t="shared" si="85"/>
        <v>1</v>
      </c>
      <c r="CC53" s="64">
        <v>4</v>
      </c>
      <c r="CD53" s="64">
        <v>1</v>
      </c>
      <c r="CE53" s="64">
        <v>5</v>
      </c>
      <c r="CF53" s="37">
        <f t="shared" si="86"/>
        <v>3</v>
      </c>
      <c r="CG53" s="39">
        <f t="shared" si="87"/>
        <v>1</v>
      </c>
      <c r="CH53" s="64">
        <v>1</v>
      </c>
      <c r="CI53" s="64">
        <v>1</v>
      </c>
      <c r="CJ53" s="48">
        <f t="shared" si="88"/>
        <v>0</v>
      </c>
      <c r="CK53" s="64">
        <v>1</v>
      </c>
      <c r="CL53" s="37">
        <f t="shared" si="89"/>
        <v>0</v>
      </c>
      <c r="CM53" s="50">
        <v>75</v>
      </c>
      <c r="CN53" s="50">
        <v>88</v>
      </c>
      <c r="CO53" s="48">
        <f t="shared" si="90"/>
        <v>3</v>
      </c>
      <c r="CP53" s="64"/>
      <c r="CQ53" s="48">
        <f t="shared" si="91"/>
        <v>3</v>
      </c>
      <c r="CR53" s="64">
        <v>0</v>
      </c>
      <c r="CS53" s="37"/>
      <c r="CT53" s="37"/>
      <c r="CU53" s="37"/>
      <c r="CV53" s="37">
        <f t="shared" si="92"/>
        <v>4.166666666666667</v>
      </c>
      <c r="CW53" s="64">
        <v>5</v>
      </c>
      <c r="CX53" s="37">
        <v>6</v>
      </c>
      <c r="CY53" s="51">
        <f t="shared" si="93"/>
        <v>4</v>
      </c>
      <c r="CZ53" s="37"/>
      <c r="DA53" s="37">
        <v>98.71</v>
      </c>
      <c r="DB53" s="37">
        <f t="shared" si="94"/>
        <v>4</v>
      </c>
      <c r="DC53" s="39">
        <f t="shared" si="95"/>
        <v>1</v>
      </c>
      <c r="DD53" s="70">
        <v>135086574.44</v>
      </c>
      <c r="DE53" s="70">
        <v>135086574.44</v>
      </c>
      <c r="DF53" s="37">
        <f t="shared" si="96"/>
        <v>3</v>
      </c>
      <c r="DG53" s="39">
        <f t="shared" si="97"/>
        <v>0</v>
      </c>
      <c r="DH53" s="46">
        <v>0</v>
      </c>
      <c r="DI53" s="46">
        <v>119594907.77</v>
      </c>
      <c r="DJ53" s="37">
        <f t="shared" si="60"/>
        <v>3</v>
      </c>
      <c r="DK53" s="64"/>
      <c r="DL53" s="64"/>
      <c r="DM53" s="37">
        <f t="shared" si="98"/>
        <v>5</v>
      </c>
      <c r="DN53" s="52">
        <f t="shared" si="99"/>
        <v>1</v>
      </c>
      <c r="DO53" s="64">
        <v>7</v>
      </c>
      <c r="DP53" s="64">
        <v>7</v>
      </c>
      <c r="DQ53" s="37">
        <f t="shared" si="100"/>
        <v>4</v>
      </c>
      <c r="DR53" s="39">
        <f t="shared" si="101"/>
        <v>1</v>
      </c>
      <c r="DS53" s="64">
        <v>94</v>
      </c>
      <c r="DT53" s="64">
        <v>94</v>
      </c>
      <c r="DU53" s="54">
        <f t="shared" si="102"/>
        <v>57.248284198342411</v>
      </c>
      <c r="DV53" s="55">
        <f t="shared" si="103"/>
        <v>45</v>
      </c>
      <c r="DW53" s="4"/>
    </row>
    <row r="54" spans="1:127" ht="150">
      <c r="A54" s="35">
        <v>35</v>
      </c>
      <c r="B54" s="35">
        <v>42</v>
      </c>
      <c r="C54" s="56" t="s">
        <v>164</v>
      </c>
      <c r="D54" s="56" t="s">
        <v>200</v>
      </c>
      <c r="E54" s="37"/>
      <c r="F54" s="38">
        <f t="shared" si="62"/>
        <v>0</v>
      </c>
      <c r="G54" s="57">
        <v>0</v>
      </c>
      <c r="H54" s="57">
        <v>0</v>
      </c>
      <c r="I54" s="37"/>
      <c r="J54" s="39">
        <f t="shared" si="63"/>
        <v>0</v>
      </c>
      <c r="K54" s="46">
        <v>0</v>
      </c>
      <c r="L54" s="46">
        <v>0</v>
      </c>
      <c r="M54" s="37"/>
      <c r="N54" s="39">
        <f t="shared" si="57"/>
        <v>0</v>
      </c>
      <c r="O54" s="45">
        <v>0</v>
      </c>
      <c r="P54" s="46">
        <v>0</v>
      </c>
      <c r="Q54" s="37"/>
      <c r="R54" s="39">
        <f t="shared" si="64"/>
        <v>0</v>
      </c>
      <c r="S54" s="40">
        <f t="shared" si="65"/>
        <v>0</v>
      </c>
      <c r="T54" s="41">
        <v>0</v>
      </c>
      <c r="U54" s="37">
        <f t="shared" si="106"/>
        <v>3</v>
      </c>
      <c r="V54" s="39">
        <f t="shared" si="66"/>
        <v>-0.2415006110469507</v>
      </c>
      <c r="W54" s="40">
        <v>0</v>
      </c>
      <c r="X54" s="8">
        <v>0</v>
      </c>
      <c r="Y54" s="8">
        <v>6827500</v>
      </c>
      <c r="Z54" s="8">
        <v>6827500</v>
      </c>
      <c r="AA54" s="40">
        <v>0</v>
      </c>
      <c r="AB54" s="40">
        <v>56542300</v>
      </c>
      <c r="AC54" s="37">
        <f t="shared" si="67"/>
        <v>3</v>
      </c>
      <c r="AD54" s="38">
        <f t="shared" si="68"/>
        <v>0</v>
      </c>
      <c r="AE54" s="57">
        <v>0</v>
      </c>
      <c r="AF54" s="57">
        <v>10153723</v>
      </c>
      <c r="AG54" s="37">
        <f t="shared" si="69"/>
        <v>1</v>
      </c>
      <c r="AH54" s="42">
        <f t="shared" si="70"/>
        <v>4</v>
      </c>
      <c r="AI54" s="42">
        <v>13</v>
      </c>
      <c r="AJ54" s="42">
        <v>13</v>
      </c>
      <c r="AK54" s="37"/>
      <c r="AL54" s="42"/>
      <c r="AM54" s="37"/>
      <c r="AN54" s="37"/>
      <c r="AO54" s="37">
        <f t="shared" si="71"/>
        <v>3</v>
      </c>
      <c r="AP54" s="39">
        <f t="shared" si="72"/>
        <v>0</v>
      </c>
      <c r="AQ54" s="57"/>
      <c r="AR54" s="57">
        <v>68046392</v>
      </c>
      <c r="AS54" s="37">
        <f t="shared" si="73"/>
        <v>0</v>
      </c>
      <c r="AT54" s="39">
        <f t="shared" si="74"/>
        <v>0</v>
      </c>
      <c r="AU54" s="45">
        <f t="shared" si="75"/>
        <v>0</v>
      </c>
      <c r="AV54" s="46">
        <f t="shared" si="76"/>
        <v>56542300</v>
      </c>
      <c r="AW54" s="37">
        <f t="shared" si="20"/>
        <v>0</v>
      </c>
      <c r="AX54" s="39">
        <v>0</v>
      </c>
      <c r="AY54" s="66">
        <v>0</v>
      </c>
      <c r="AZ54" s="37">
        <v>4000</v>
      </c>
      <c r="BA54" s="37">
        <v>2</v>
      </c>
      <c r="BB54" s="37" t="s">
        <v>192</v>
      </c>
      <c r="BC54" s="37">
        <v>0</v>
      </c>
      <c r="BD54" s="37">
        <f t="shared" si="77"/>
        <v>1</v>
      </c>
      <c r="BE54" s="39">
        <f t="shared" si="78"/>
        <v>0</v>
      </c>
      <c r="BF54" s="37">
        <v>0</v>
      </c>
      <c r="BG54" s="37">
        <v>406274.34</v>
      </c>
      <c r="BH54" s="37">
        <f t="shared" si="79"/>
        <v>1</v>
      </c>
      <c r="BI54" s="37">
        <v>0</v>
      </c>
      <c r="BJ54" s="37">
        <v>3515400</v>
      </c>
      <c r="BK54" s="37">
        <f t="shared" si="80"/>
        <v>4</v>
      </c>
      <c r="BL54" s="38">
        <f t="shared" si="81"/>
        <v>0</v>
      </c>
      <c r="BM54" s="37">
        <v>0</v>
      </c>
      <c r="BN54" s="37">
        <v>7346.89</v>
      </c>
      <c r="BO54" s="37">
        <v>0</v>
      </c>
      <c r="BP54" s="37">
        <v>4703.91</v>
      </c>
      <c r="BQ54" s="37">
        <f t="shared" si="105"/>
        <v>0</v>
      </c>
      <c r="BR54" s="39">
        <f t="shared" si="82"/>
        <v>1.0725090893933771</v>
      </c>
      <c r="BS54" s="37">
        <v>22334221</v>
      </c>
      <c r="BT54" s="37">
        <v>28.3</v>
      </c>
      <c r="BU54" s="37">
        <v>12</v>
      </c>
      <c r="BV54" s="37">
        <v>61320</v>
      </c>
      <c r="BW54" s="37">
        <f t="shared" si="104"/>
        <v>0</v>
      </c>
      <c r="BX54" s="39">
        <f t="shared" si="83"/>
        <v>0.83202023971433781</v>
      </c>
      <c r="BY54" s="37">
        <v>47044338</v>
      </c>
      <c r="BZ54" s="66">
        <v>56542300</v>
      </c>
      <c r="CA54" s="48">
        <f t="shared" si="84"/>
        <v>2</v>
      </c>
      <c r="CB54" s="49">
        <f t="shared" si="85"/>
        <v>2</v>
      </c>
      <c r="CC54" s="37">
        <v>2</v>
      </c>
      <c r="CD54" s="37">
        <v>2</v>
      </c>
      <c r="CE54" s="37">
        <v>2</v>
      </c>
      <c r="CF54" s="37">
        <f t="shared" si="86"/>
        <v>3</v>
      </c>
      <c r="CG54" s="39">
        <f t="shared" si="87"/>
        <v>1</v>
      </c>
      <c r="CH54" s="37">
        <v>1</v>
      </c>
      <c r="CI54" s="37">
        <v>1</v>
      </c>
      <c r="CJ54" s="48">
        <f t="shared" si="88"/>
        <v>0</v>
      </c>
      <c r="CK54" s="37">
        <v>1</v>
      </c>
      <c r="CL54" s="37">
        <f t="shared" si="89"/>
        <v>0</v>
      </c>
      <c r="CM54" s="37">
        <v>75</v>
      </c>
      <c r="CN54" s="50">
        <v>88</v>
      </c>
      <c r="CO54" s="48">
        <f t="shared" si="90"/>
        <v>3</v>
      </c>
      <c r="CP54" s="37"/>
      <c r="CQ54" s="48">
        <f t="shared" si="91"/>
        <v>3</v>
      </c>
      <c r="CR54" s="37"/>
      <c r="CS54" s="37"/>
      <c r="CT54" s="37"/>
      <c r="CU54" s="37"/>
      <c r="CV54" s="37">
        <f t="shared" si="92"/>
        <v>5</v>
      </c>
      <c r="CW54" s="37">
        <v>6</v>
      </c>
      <c r="CX54" s="37">
        <v>6</v>
      </c>
      <c r="CY54" s="51">
        <f t="shared" si="93"/>
        <v>4</v>
      </c>
      <c r="CZ54" s="37"/>
      <c r="DA54" s="37">
        <v>9.6999999999999993</v>
      </c>
      <c r="DB54" s="37">
        <f t="shared" si="94"/>
        <v>4</v>
      </c>
      <c r="DC54" s="39">
        <f t="shared" si="95"/>
        <v>1</v>
      </c>
      <c r="DD54" s="44">
        <v>68408465.379999995</v>
      </c>
      <c r="DE54" s="44">
        <v>68408465.379999995</v>
      </c>
      <c r="DF54" s="37">
        <f t="shared" si="96"/>
        <v>3</v>
      </c>
      <c r="DG54" s="39">
        <f t="shared" si="97"/>
        <v>0</v>
      </c>
      <c r="DH54" s="46">
        <v>0</v>
      </c>
      <c r="DI54" s="11">
        <v>68408465.379999995</v>
      </c>
      <c r="DJ54" s="37">
        <f t="shared" si="60"/>
        <v>3</v>
      </c>
      <c r="DK54" s="37"/>
      <c r="DL54" s="37"/>
      <c r="DM54" s="37">
        <f t="shared" si="98"/>
        <v>5</v>
      </c>
      <c r="DN54" s="52">
        <f t="shared" si="99"/>
        <v>1</v>
      </c>
      <c r="DO54" s="58">
        <v>33</v>
      </c>
      <c r="DP54" s="58">
        <v>33</v>
      </c>
      <c r="DQ54" s="37">
        <f t="shared" si="100"/>
        <v>4</v>
      </c>
      <c r="DR54" s="39">
        <f t="shared" si="101"/>
        <v>1</v>
      </c>
      <c r="DS54" s="58">
        <v>58</v>
      </c>
      <c r="DT54" s="58">
        <v>58</v>
      </c>
      <c r="DU54" s="54">
        <f t="shared" si="102"/>
        <v>57</v>
      </c>
      <c r="DV54" s="55">
        <f t="shared" si="103"/>
        <v>46</v>
      </c>
      <c r="DW54" s="4"/>
    </row>
    <row r="55" spans="1:127" ht="150">
      <c r="A55" s="35">
        <v>50</v>
      </c>
      <c r="B55" s="35">
        <v>56</v>
      </c>
      <c r="C55" s="56" t="s">
        <v>164</v>
      </c>
      <c r="D55" s="56" t="s">
        <v>216</v>
      </c>
      <c r="E55" s="37"/>
      <c r="F55" s="38">
        <f t="shared" si="62"/>
        <v>0</v>
      </c>
      <c r="G55" s="57">
        <v>0</v>
      </c>
      <c r="H55" s="57">
        <v>0</v>
      </c>
      <c r="I55" s="37"/>
      <c r="J55" s="39">
        <f t="shared" si="63"/>
        <v>0</v>
      </c>
      <c r="K55" s="46">
        <v>0</v>
      </c>
      <c r="L55" s="46">
        <v>0</v>
      </c>
      <c r="M55" s="37"/>
      <c r="N55" s="39">
        <f t="shared" si="57"/>
        <v>0</v>
      </c>
      <c r="O55" s="45">
        <v>0</v>
      </c>
      <c r="P55" s="46">
        <v>0</v>
      </c>
      <c r="Q55" s="37"/>
      <c r="R55" s="39">
        <f t="shared" si="64"/>
        <v>0</v>
      </c>
      <c r="S55" s="40">
        <f t="shared" si="65"/>
        <v>0</v>
      </c>
      <c r="T55" s="41">
        <v>0</v>
      </c>
      <c r="U55" s="37">
        <f t="shared" si="106"/>
        <v>3</v>
      </c>
      <c r="V55" s="39">
        <f t="shared" si="66"/>
        <v>-0.33309996439479683</v>
      </c>
      <c r="W55" s="40">
        <v>0</v>
      </c>
      <c r="X55" s="8">
        <v>0</v>
      </c>
      <c r="Y55" s="8">
        <v>14641159.109999999</v>
      </c>
      <c r="Z55" s="8">
        <v>14641159.109999999</v>
      </c>
      <c r="AA55" s="40">
        <v>0</v>
      </c>
      <c r="AB55" s="40">
        <v>87908500</v>
      </c>
      <c r="AC55" s="37">
        <f t="shared" si="67"/>
        <v>3</v>
      </c>
      <c r="AD55" s="38">
        <f t="shared" si="68"/>
        <v>0</v>
      </c>
      <c r="AE55" s="57">
        <v>0</v>
      </c>
      <c r="AF55" s="57">
        <v>2602407.21</v>
      </c>
      <c r="AG55" s="37">
        <f t="shared" si="69"/>
        <v>1</v>
      </c>
      <c r="AH55" s="42">
        <f t="shared" si="70"/>
        <v>4</v>
      </c>
      <c r="AI55" s="42">
        <v>13</v>
      </c>
      <c r="AJ55" s="42">
        <v>13</v>
      </c>
      <c r="AK55" s="37"/>
      <c r="AL55" s="42"/>
      <c r="AM55" s="37"/>
      <c r="AN55" s="37"/>
      <c r="AO55" s="37">
        <f t="shared" si="71"/>
        <v>3</v>
      </c>
      <c r="AP55" s="39">
        <f t="shared" si="72"/>
        <v>0</v>
      </c>
      <c r="AQ55" s="57"/>
      <c r="AR55" s="57">
        <v>94895593.239999995</v>
      </c>
      <c r="AS55" s="37">
        <f t="shared" si="73"/>
        <v>0</v>
      </c>
      <c r="AT55" s="39">
        <f t="shared" si="74"/>
        <v>0</v>
      </c>
      <c r="AU55" s="45">
        <f t="shared" si="75"/>
        <v>0</v>
      </c>
      <c r="AV55" s="46">
        <f t="shared" si="76"/>
        <v>87908500</v>
      </c>
      <c r="AW55" s="37">
        <f t="shared" si="20"/>
        <v>0</v>
      </c>
      <c r="AX55" s="39"/>
      <c r="AY55" s="66">
        <v>0</v>
      </c>
      <c r="AZ55" s="37" t="s">
        <v>212</v>
      </c>
      <c r="BA55" s="37">
        <v>2</v>
      </c>
      <c r="BB55" s="37" t="s">
        <v>192</v>
      </c>
      <c r="BC55" s="37">
        <v>0</v>
      </c>
      <c r="BD55" s="37">
        <f t="shared" si="77"/>
        <v>1</v>
      </c>
      <c r="BE55" s="39">
        <f t="shared" si="78"/>
        <v>0</v>
      </c>
      <c r="BF55" s="37">
        <v>0</v>
      </c>
      <c r="BG55" s="37">
        <v>0</v>
      </c>
      <c r="BH55" s="37">
        <f t="shared" si="79"/>
        <v>1</v>
      </c>
      <c r="BI55" s="37">
        <v>0</v>
      </c>
      <c r="BJ55" s="37">
        <v>2145582.15</v>
      </c>
      <c r="BK55" s="37">
        <f t="shared" si="80"/>
        <v>4</v>
      </c>
      <c r="BL55" s="38">
        <f t="shared" si="81"/>
        <v>0</v>
      </c>
      <c r="BM55" s="37">
        <v>0</v>
      </c>
      <c r="BN55" s="37">
        <v>7767.56</v>
      </c>
      <c r="BO55" s="37">
        <v>0</v>
      </c>
      <c r="BP55" s="37">
        <v>4011.72</v>
      </c>
      <c r="BQ55" s="37">
        <f t="shared" si="105"/>
        <v>0</v>
      </c>
      <c r="BR55" s="39">
        <f t="shared" si="82"/>
        <v>1.1497094579059561</v>
      </c>
      <c r="BS55" s="37">
        <v>38323900</v>
      </c>
      <c r="BT55" s="37">
        <v>45.3</v>
      </c>
      <c r="BU55" s="37">
        <v>12</v>
      </c>
      <c r="BV55" s="44">
        <v>61320</v>
      </c>
      <c r="BW55" s="37">
        <f t="shared" si="104"/>
        <v>0</v>
      </c>
      <c r="BX55" s="39">
        <f t="shared" si="83"/>
        <v>0.80421788109227199</v>
      </c>
      <c r="BY55" s="37">
        <v>70697587.599999994</v>
      </c>
      <c r="BZ55" s="66">
        <v>87908500</v>
      </c>
      <c r="CA55" s="48">
        <f t="shared" si="84"/>
        <v>2</v>
      </c>
      <c r="CB55" s="49">
        <f t="shared" si="85"/>
        <v>0.8</v>
      </c>
      <c r="CC55" s="37">
        <v>2</v>
      </c>
      <c r="CD55" s="37">
        <v>2</v>
      </c>
      <c r="CE55" s="37">
        <v>5</v>
      </c>
      <c r="CF55" s="37">
        <f t="shared" si="86"/>
        <v>3</v>
      </c>
      <c r="CG55" s="39">
        <f t="shared" si="87"/>
        <v>1</v>
      </c>
      <c r="CH55" s="37">
        <v>2</v>
      </c>
      <c r="CI55" s="37">
        <v>2</v>
      </c>
      <c r="CJ55" s="48">
        <f t="shared" si="88"/>
        <v>0</v>
      </c>
      <c r="CK55" s="37">
        <v>1</v>
      </c>
      <c r="CL55" s="37">
        <f t="shared" si="89"/>
        <v>0</v>
      </c>
      <c r="CM55" s="37">
        <v>79</v>
      </c>
      <c r="CN55" s="50">
        <v>88</v>
      </c>
      <c r="CO55" s="48">
        <f t="shared" si="90"/>
        <v>3</v>
      </c>
      <c r="CP55" s="37"/>
      <c r="CQ55" s="48">
        <f t="shared" si="91"/>
        <v>3</v>
      </c>
      <c r="CR55" s="37"/>
      <c r="CS55" s="37"/>
      <c r="CT55" s="37"/>
      <c r="CU55" s="37"/>
      <c r="CV55" s="37">
        <f t="shared" si="92"/>
        <v>5</v>
      </c>
      <c r="CW55" s="37">
        <v>6</v>
      </c>
      <c r="CX55" s="37">
        <v>6</v>
      </c>
      <c r="CY55" s="51">
        <f t="shared" si="93"/>
        <v>4</v>
      </c>
      <c r="CZ55" s="37"/>
      <c r="DA55" s="37">
        <v>21.6</v>
      </c>
      <c r="DB55" s="37">
        <f t="shared" si="94"/>
        <v>4</v>
      </c>
      <c r="DC55" s="39">
        <f t="shared" si="95"/>
        <v>1</v>
      </c>
      <c r="DD55" s="44">
        <v>94895593.239999995</v>
      </c>
      <c r="DE55" s="44">
        <v>94895593.239999995</v>
      </c>
      <c r="DF55" s="37">
        <f t="shared" si="96"/>
        <v>3</v>
      </c>
      <c r="DG55" s="39">
        <f t="shared" si="97"/>
        <v>0</v>
      </c>
      <c r="DH55" s="46">
        <v>0</v>
      </c>
      <c r="DI55" s="11">
        <v>94895593.239999995</v>
      </c>
      <c r="DJ55" s="37">
        <f t="shared" si="60"/>
        <v>3</v>
      </c>
      <c r="DK55" s="37"/>
      <c r="DL55" s="37"/>
      <c r="DM55" s="37">
        <f t="shared" si="98"/>
        <v>5</v>
      </c>
      <c r="DN55" s="52">
        <f t="shared" si="99"/>
        <v>1</v>
      </c>
      <c r="DO55" s="53">
        <v>14</v>
      </c>
      <c r="DP55" s="53">
        <v>14</v>
      </c>
      <c r="DQ55" s="37">
        <f t="shared" si="100"/>
        <v>4</v>
      </c>
      <c r="DR55" s="39">
        <f t="shared" si="101"/>
        <v>1</v>
      </c>
      <c r="DS55" s="58">
        <v>87</v>
      </c>
      <c r="DT55" s="58">
        <v>87</v>
      </c>
      <c r="DU55" s="54">
        <f t="shared" si="102"/>
        <v>57</v>
      </c>
      <c r="DV55" s="55">
        <f t="shared" si="103"/>
        <v>46</v>
      </c>
      <c r="DW55" s="4"/>
    </row>
    <row r="56" spans="1:127" ht="135">
      <c r="A56" s="35">
        <v>24</v>
      </c>
      <c r="B56" s="35">
        <v>20</v>
      </c>
      <c r="C56" s="56" t="s">
        <v>164</v>
      </c>
      <c r="D56" s="56" t="s">
        <v>187</v>
      </c>
      <c r="E56" s="37">
        <f>IF(F56&gt;1,0,IF(G56/H56&lt;$H$7/100,0,IF(G56/H56&gt;$G$7/100,3,$E$7*(G56/H56-$H$7/100)/(($G$7-$H$7)/100))))</f>
        <v>0</v>
      </c>
      <c r="F56" s="38">
        <f t="shared" si="62"/>
        <v>1.1606118672394745</v>
      </c>
      <c r="G56" s="57">
        <v>5528873.5800000001</v>
      </c>
      <c r="H56" s="57">
        <v>4763757.58</v>
      </c>
      <c r="I56" s="37">
        <f>IF(K56/L56&lt;$L$7/100,0,IF(K56/L56&gt;$K$7/100,3,$I$7*(K56/L56-$L$7/100)/(($K$7-$L$7)/100)))</f>
        <v>0</v>
      </c>
      <c r="J56" s="39">
        <f t="shared" si="63"/>
        <v>0.7400572780716822</v>
      </c>
      <c r="K56" s="46">
        <v>5089592.2699999996</v>
      </c>
      <c r="L56" s="46">
        <v>6877295.0700000003</v>
      </c>
      <c r="M56" s="37">
        <f>IF(O56/P56&lt;$P$7/100,0,IF(O56/P56&gt;$O$7/100,3,$M$7*(O56/P56-$P$7/100)/(($O$7-$P$7)/100)))</f>
        <v>3</v>
      </c>
      <c r="N56" s="39">
        <f t="shared" si="57"/>
        <v>3.0375575268817205</v>
      </c>
      <c r="O56" s="45">
        <v>5649857</v>
      </c>
      <c r="P56" s="46">
        <v>1860000</v>
      </c>
      <c r="Q56" s="37">
        <f>IF(S56/T56&lt;$T$7/100,0,IF(S56/T56&gt;$S$7/100,3,$Q$7*(S56/T56-$T$7/100)/(($S$7-$T$7)/100)))</f>
        <v>0</v>
      </c>
      <c r="R56" s="39">
        <f t="shared" si="64"/>
        <v>0.7400572780716822</v>
      </c>
      <c r="S56" s="40">
        <f t="shared" si="65"/>
        <v>5089592.2699999996</v>
      </c>
      <c r="T56" s="41">
        <v>6877295.0700000003</v>
      </c>
      <c r="U56" s="37">
        <f t="shared" si="106"/>
        <v>3</v>
      </c>
      <c r="V56" s="39">
        <f t="shared" si="66"/>
        <v>-1.4464650874072561E-4</v>
      </c>
      <c r="W56" s="40">
        <v>0</v>
      </c>
      <c r="X56" s="8">
        <v>0</v>
      </c>
      <c r="Y56" s="8">
        <v>5606.49</v>
      </c>
      <c r="Z56" s="8">
        <v>5606.49</v>
      </c>
      <c r="AA56" s="40">
        <v>0</v>
      </c>
      <c r="AB56" s="40">
        <v>77519880</v>
      </c>
      <c r="AC56" s="37">
        <f t="shared" si="67"/>
        <v>0</v>
      </c>
      <c r="AD56" s="38">
        <f t="shared" si="68"/>
        <v>3.5089470801711278E-2</v>
      </c>
      <c r="AE56" s="57">
        <v>207108.5</v>
      </c>
      <c r="AF56" s="57">
        <v>5902297.620000001</v>
      </c>
      <c r="AG56" s="37">
        <f t="shared" si="69"/>
        <v>0</v>
      </c>
      <c r="AH56" s="42">
        <f t="shared" si="70"/>
        <v>2</v>
      </c>
      <c r="AI56" s="42">
        <v>21</v>
      </c>
      <c r="AJ56" s="42">
        <v>23</v>
      </c>
      <c r="AK56" s="37"/>
      <c r="AL56" s="42"/>
      <c r="AM56" s="37"/>
      <c r="AN56" s="37"/>
      <c r="AO56" s="37">
        <f t="shared" si="71"/>
        <v>2.9947582907563346</v>
      </c>
      <c r="AP56" s="39">
        <f t="shared" si="72"/>
        <v>1.747236414555237E-3</v>
      </c>
      <c r="AQ56" s="57">
        <v>182108.5</v>
      </c>
      <c r="AR56" s="57">
        <v>104226593.77</v>
      </c>
      <c r="AS56" s="37">
        <f t="shared" si="73"/>
        <v>0</v>
      </c>
      <c r="AT56" s="39">
        <f t="shared" si="74"/>
        <v>6.7931644415323816E-2</v>
      </c>
      <c r="AU56" s="45">
        <f t="shared" si="75"/>
        <v>5649857</v>
      </c>
      <c r="AV56" s="46">
        <f t="shared" si="76"/>
        <v>77519880</v>
      </c>
      <c r="AW56" s="37">
        <f t="shared" si="20"/>
        <v>2</v>
      </c>
      <c r="AX56" s="39">
        <f>AY56/AZ56-1</f>
        <v>0.60045533398524031</v>
      </c>
      <c r="AY56" s="45">
        <f>AU56</f>
        <v>5649857</v>
      </c>
      <c r="AZ56" s="46">
        <v>3530156</v>
      </c>
      <c r="BA56" s="37">
        <v>2</v>
      </c>
      <c r="BB56" s="46">
        <f>AY56</f>
        <v>5649857</v>
      </c>
      <c r="BC56" s="46">
        <v>0</v>
      </c>
      <c r="BD56" s="37">
        <f t="shared" si="77"/>
        <v>1</v>
      </c>
      <c r="BE56" s="39">
        <f t="shared" si="78"/>
        <v>0</v>
      </c>
      <c r="BF56" s="37">
        <v>0</v>
      </c>
      <c r="BG56" s="46">
        <v>1459133.5</v>
      </c>
      <c r="BH56" s="37">
        <f t="shared" si="79"/>
        <v>1</v>
      </c>
      <c r="BI56" s="37">
        <v>0</v>
      </c>
      <c r="BJ56" s="46">
        <v>2592451.9500000002</v>
      </c>
      <c r="BK56" s="37">
        <f t="shared" si="80"/>
        <v>4</v>
      </c>
      <c r="BL56" s="38">
        <f t="shared" si="81"/>
        <v>0</v>
      </c>
      <c r="BM56" s="46">
        <v>0</v>
      </c>
      <c r="BN56" s="46">
        <v>41216.61</v>
      </c>
      <c r="BO56" s="46">
        <v>0</v>
      </c>
      <c r="BP56" s="46">
        <v>5374.87</v>
      </c>
      <c r="BQ56" s="37">
        <f t="shared" si="105"/>
        <v>0</v>
      </c>
      <c r="BR56" s="39">
        <f t="shared" si="82"/>
        <v>1.1178093470527761</v>
      </c>
      <c r="BS56" s="37">
        <v>19658600</v>
      </c>
      <c r="BT56" s="37">
        <v>23.6</v>
      </c>
      <c r="BU56" s="37">
        <v>12</v>
      </c>
      <c r="BV56" s="63">
        <v>62100</v>
      </c>
      <c r="BW56" s="37">
        <f t="shared" si="104"/>
        <v>2</v>
      </c>
      <c r="BX56" s="39">
        <f t="shared" si="83"/>
        <v>0.70732778678860075</v>
      </c>
      <c r="BY56" s="46">
        <f>45183*1000*1.302</f>
        <v>58828266</v>
      </c>
      <c r="BZ56" s="45">
        <v>83169737</v>
      </c>
      <c r="CA56" s="48">
        <f t="shared" si="84"/>
        <v>2</v>
      </c>
      <c r="CB56" s="49">
        <f t="shared" si="85"/>
        <v>2</v>
      </c>
      <c r="CC56" s="37">
        <v>3</v>
      </c>
      <c r="CD56" s="37">
        <v>3</v>
      </c>
      <c r="CE56" s="37">
        <v>3</v>
      </c>
      <c r="CF56" s="37">
        <f t="shared" si="86"/>
        <v>3</v>
      </c>
      <c r="CG56" s="39">
        <f t="shared" si="87"/>
        <v>1</v>
      </c>
      <c r="CH56" s="37">
        <v>2</v>
      </c>
      <c r="CI56" s="37">
        <v>2</v>
      </c>
      <c r="CJ56" s="48">
        <f t="shared" si="88"/>
        <v>0</v>
      </c>
      <c r="CK56" s="37">
        <v>1</v>
      </c>
      <c r="CL56" s="37">
        <f t="shared" si="89"/>
        <v>0</v>
      </c>
      <c r="CM56" s="50">
        <v>87</v>
      </c>
      <c r="CN56" s="50">
        <v>88</v>
      </c>
      <c r="CO56" s="48">
        <f t="shared" si="90"/>
        <v>3</v>
      </c>
      <c r="CP56" s="37"/>
      <c r="CQ56" s="48">
        <f t="shared" si="91"/>
        <v>0</v>
      </c>
      <c r="CR56" s="37">
        <v>1</v>
      </c>
      <c r="CS56" s="37"/>
      <c r="CT56" s="37"/>
      <c r="CU56" s="37"/>
      <c r="CV56" s="37">
        <f t="shared" si="92"/>
        <v>4.166666666666667</v>
      </c>
      <c r="CW56" s="37">
        <v>5</v>
      </c>
      <c r="CX56" s="37">
        <v>6</v>
      </c>
      <c r="CY56" s="51">
        <f t="shared" si="93"/>
        <v>4</v>
      </c>
      <c r="CZ56" s="37"/>
      <c r="DA56" s="37">
        <v>101.2</v>
      </c>
      <c r="DB56" s="37">
        <f t="shared" si="94"/>
        <v>4</v>
      </c>
      <c r="DC56" s="39">
        <f t="shared" si="95"/>
        <v>1</v>
      </c>
      <c r="DD56" s="46">
        <v>109154077.54000001</v>
      </c>
      <c r="DE56" s="46">
        <v>109154077.54000001</v>
      </c>
      <c r="DF56" s="37">
        <f t="shared" si="96"/>
        <v>3</v>
      </c>
      <c r="DG56" s="39">
        <f t="shared" si="97"/>
        <v>0</v>
      </c>
      <c r="DH56" s="46">
        <v>0</v>
      </c>
      <c r="DI56" s="46">
        <v>104064485.27</v>
      </c>
      <c r="DJ56" s="37">
        <f t="shared" si="60"/>
        <v>3</v>
      </c>
      <c r="DK56" s="37"/>
      <c r="DL56" s="37"/>
      <c r="DM56" s="37">
        <f t="shared" si="98"/>
        <v>5</v>
      </c>
      <c r="DN56" s="52">
        <f t="shared" si="99"/>
        <v>1</v>
      </c>
      <c r="DO56" s="64">
        <v>16</v>
      </c>
      <c r="DP56" s="64">
        <v>16</v>
      </c>
      <c r="DQ56" s="37">
        <f t="shared" si="100"/>
        <v>4</v>
      </c>
      <c r="DR56" s="39">
        <f t="shared" si="101"/>
        <v>1</v>
      </c>
      <c r="DS56" s="64">
        <v>52</v>
      </c>
      <c r="DT56" s="64">
        <v>52</v>
      </c>
      <c r="DU56" s="54">
        <f t="shared" si="102"/>
        <v>56.161424957423002</v>
      </c>
      <c r="DV56" s="55">
        <f t="shared" si="103"/>
        <v>48</v>
      </c>
      <c r="DW56" s="4"/>
    </row>
    <row r="57" spans="1:127" ht="150">
      <c r="A57" s="35">
        <v>47</v>
      </c>
      <c r="B57" s="35">
        <v>52</v>
      </c>
      <c r="C57" s="56" t="s">
        <v>164</v>
      </c>
      <c r="D57" s="56" t="s">
        <v>213</v>
      </c>
      <c r="E57" s="37"/>
      <c r="F57" s="38">
        <f t="shared" si="62"/>
        <v>0</v>
      </c>
      <c r="G57" s="57">
        <v>0</v>
      </c>
      <c r="H57" s="57">
        <v>0</v>
      </c>
      <c r="I57" s="37"/>
      <c r="J57" s="39">
        <f t="shared" si="63"/>
        <v>0</v>
      </c>
      <c r="K57" s="46">
        <v>0</v>
      </c>
      <c r="L57" s="46">
        <v>0</v>
      </c>
      <c r="M57" s="37"/>
      <c r="N57" s="39">
        <f t="shared" si="57"/>
        <v>0</v>
      </c>
      <c r="O57" s="45">
        <v>0</v>
      </c>
      <c r="P57" s="46">
        <v>0</v>
      </c>
      <c r="Q57" s="37"/>
      <c r="R57" s="39">
        <f t="shared" si="64"/>
        <v>0</v>
      </c>
      <c r="S57" s="40">
        <f t="shared" si="65"/>
        <v>0</v>
      </c>
      <c r="T57" s="41">
        <v>0</v>
      </c>
      <c r="U57" s="37">
        <f t="shared" si="106"/>
        <v>3</v>
      </c>
      <c r="V57" s="39">
        <f t="shared" si="66"/>
        <v>-0.12093196216643563</v>
      </c>
      <c r="W57" s="40">
        <v>0</v>
      </c>
      <c r="X57" s="8">
        <v>0</v>
      </c>
      <c r="Y57" s="8">
        <v>4000000</v>
      </c>
      <c r="Z57" s="8">
        <v>4000000</v>
      </c>
      <c r="AA57" s="40">
        <v>0</v>
      </c>
      <c r="AB57" s="40">
        <v>66152900</v>
      </c>
      <c r="AC57" s="37">
        <f t="shared" si="67"/>
        <v>3</v>
      </c>
      <c r="AD57" s="38">
        <f t="shared" si="68"/>
        <v>0</v>
      </c>
      <c r="AE57" s="57">
        <v>0</v>
      </c>
      <c r="AF57" s="57">
        <v>3269307</v>
      </c>
      <c r="AG57" s="37">
        <f t="shared" si="69"/>
        <v>0</v>
      </c>
      <c r="AH57" s="42">
        <f t="shared" si="70"/>
        <v>3</v>
      </c>
      <c r="AI57" s="42">
        <v>9</v>
      </c>
      <c r="AJ57" s="42">
        <v>10</v>
      </c>
      <c r="AK57" s="37"/>
      <c r="AL57" s="42"/>
      <c r="AM57" s="37"/>
      <c r="AN57" s="37"/>
      <c r="AO57" s="37">
        <f t="shared" si="71"/>
        <v>3</v>
      </c>
      <c r="AP57" s="39">
        <f t="shared" si="72"/>
        <v>0</v>
      </c>
      <c r="AQ57" s="57"/>
      <c r="AR57" s="57">
        <v>74056997</v>
      </c>
      <c r="AS57" s="37">
        <f t="shared" si="73"/>
        <v>0</v>
      </c>
      <c r="AT57" s="39">
        <f t="shared" si="74"/>
        <v>0</v>
      </c>
      <c r="AU57" s="45">
        <f t="shared" si="75"/>
        <v>0</v>
      </c>
      <c r="AV57" s="46">
        <f t="shared" si="76"/>
        <v>66152900</v>
      </c>
      <c r="AW57" s="37"/>
      <c r="AX57" s="39"/>
      <c r="AY57" s="66">
        <v>0</v>
      </c>
      <c r="AZ57" s="37" t="s">
        <v>212</v>
      </c>
      <c r="BA57" s="37">
        <v>2</v>
      </c>
      <c r="BB57" s="37"/>
      <c r="BC57" s="37">
        <v>0</v>
      </c>
      <c r="BD57" s="37">
        <f t="shared" si="77"/>
        <v>1</v>
      </c>
      <c r="BE57" s="39">
        <f t="shared" si="78"/>
        <v>0</v>
      </c>
      <c r="BF57" s="37">
        <v>0</v>
      </c>
      <c r="BG57" s="37">
        <v>0</v>
      </c>
      <c r="BH57" s="37">
        <f t="shared" si="79"/>
        <v>1</v>
      </c>
      <c r="BI57" s="37">
        <v>0</v>
      </c>
      <c r="BJ57" s="37">
        <v>5390280</v>
      </c>
      <c r="BK57" s="37">
        <f t="shared" si="80"/>
        <v>4</v>
      </c>
      <c r="BL57" s="38">
        <f t="shared" si="81"/>
        <v>0</v>
      </c>
      <c r="BM57" s="37">
        <v>0</v>
      </c>
      <c r="BN57" s="37">
        <v>1891.75</v>
      </c>
      <c r="BO57" s="37">
        <v>0</v>
      </c>
      <c r="BP57" s="37">
        <v>2703.31</v>
      </c>
      <c r="BQ57" s="37">
        <f t="shared" si="105"/>
        <v>0</v>
      </c>
      <c r="BR57" s="39">
        <f t="shared" si="82"/>
        <v>1.1826348553338795</v>
      </c>
      <c r="BS57" s="37">
        <v>27238200</v>
      </c>
      <c r="BT57" s="37">
        <v>31.3</v>
      </c>
      <c r="BU57" s="37">
        <v>12</v>
      </c>
      <c r="BV57" s="44">
        <v>61320</v>
      </c>
      <c r="BW57" s="37">
        <f t="shared" si="104"/>
        <v>0</v>
      </c>
      <c r="BX57" s="39">
        <f t="shared" si="83"/>
        <v>0</v>
      </c>
      <c r="BY57" s="37">
        <v>0</v>
      </c>
      <c r="BZ57" s="66">
        <v>66152900</v>
      </c>
      <c r="CA57" s="48">
        <f t="shared" si="84"/>
        <v>2</v>
      </c>
      <c r="CB57" s="49">
        <f t="shared" si="85"/>
        <v>2</v>
      </c>
      <c r="CC57" s="37">
        <v>3</v>
      </c>
      <c r="CD57" s="37">
        <v>3</v>
      </c>
      <c r="CE57" s="37">
        <v>3</v>
      </c>
      <c r="CF57" s="37">
        <f t="shared" si="86"/>
        <v>3</v>
      </c>
      <c r="CG57" s="39">
        <f t="shared" si="87"/>
        <v>1</v>
      </c>
      <c r="CH57" s="37">
        <v>50</v>
      </c>
      <c r="CI57" s="37">
        <v>50</v>
      </c>
      <c r="CJ57" s="48">
        <f t="shared" si="88"/>
        <v>0</v>
      </c>
      <c r="CK57" s="37">
        <v>1</v>
      </c>
      <c r="CL57" s="37">
        <f t="shared" si="89"/>
        <v>0</v>
      </c>
      <c r="CM57" s="37">
        <v>76</v>
      </c>
      <c r="CN57" s="50">
        <v>88</v>
      </c>
      <c r="CO57" s="48">
        <f t="shared" si="90"/>
        <v>3</v>
      </c>
      <c r="CP57" s="37"/>
      <c r="CQ57" s="48">
        <f t="shared" si="91"/>
        <v>3</v>
      </c>
      <c r="CR57" s="37"/>
      <c r="CS57" s="37"/>
      <c r="CT57" s="37"/>
      <c r="CU57" s="37"/>
      <c r="CV57" s="37">
        <f t="shared" si="92"/>
        <v>5</v>
      </c>
      <c r="CW57" s="37">
        <v>2</v>
      </c>
      <c r="CX57" s="37">
        <v>2</v>
      </c>
      <c r="CY57" s="51">
        <f t="shared" si="93"/>
        <v>4</v>
      </c>
      <c r="CZ57" s="37"/>
      <c r="DA57" s="37">
        <v>0</v>
      </c>
      <c r="DB57" s="37">
        <f t="shared" si="94"/>
        <v>4</v>
      </c>
      <c r="DC57" s="39">
        <f t="shared" si="95"/>
        <v>1</v>
      </c>
      <c r="DD57" s="44">
        <v>74056997</v>
      </c>
      <c r="DE57" s="44">
        <v>74056997</v>
      </c>
      <c r="DF57" s="37">
        <f t="shared" si="96"/>
        <v>3</v>
      </c>
      <c r="DG57" s="39">
        <f t="shared" si="97"/>
        <v>0</v>
      </c>
      <c r="DH57" s="46">
        <v>0</v>
      </c>
      <c r="DI57" s="11">
        <v>74056997</v>
      </c>
      <c r="DJ57" s="37">
        <f t="shared" si="60"/>
        <v>3</v>
      </c>
      <c r="DK57" s="37"/>
      <c r="DL57" s="37"/>
      <c r="DM57" s="37">
        <f t="shared" si="98"/>
        <v>5</v>
      </c>
      <c r="DN57" s="52">
        <f t="shared" si="99"/>
        <v>1</v>
      </c>
      <c r="DO57" s="53">
        <v>2</v>
      </c>
      <c r="DP57" s="53">
        <v>2</v>
      </c>
      <c r="DQ57" s="37">
        <f t="shared" si="100"/>
        <v>4</v>
      </c>
      <c r="DR57" s="39">
        <f t="shared" si="101"/>
        <v>1</v>
      </c>
      <c r="DS57" s="58">
        <v>58</v>
      </c>
      <c r="DT57" s="58">
        <v>58</v>
      </c>
      <c r="DU57" s="54">
        <f t="shared" si="102"/>
        <v>56</v>
      </c>
      <c r="DV57" s="55">
        <f t="shared" si="103"/>
        <v>49</v>
      </c>
      <c r="DW57" s="4"/>
    </row>
    <row r="58" spans="1:127" ht="150">
      <c r="A58" s="35">
        <v>28</v>
      </c>
      <c r="B58" s="35">
        <v>53</v>
      </c>
      <c r="C58" s="56" t="s">
        <v>164</v>
      </c>
      <c r="D58" s="56" t="s">
        <v>193</v>
      </c>
      <c r="E58" s="37"/>
      <c r="F58" s="38">
        <f t="shared" si="62"/>
        <v>0</v>
      </c>
      <c r="G58" s="57">
        <v>0</v>
      </c>
      <c r="H58" s="57">
        <v>0</v>
      </c>
      <c r="I58" s="37"/>
      <c r="J58" s="39">
        <f t="shared" si="63"/>
        <v>0</v>
      </c>
      <c r="K58" s="46">
        <v>0</v>
      </c>
      <c r="L58" s="46">
        <v>0</v>
      </c>
      <c r="M58" s="37"/>
      <c r="N58" s="39">
        <f t="shared" si="57"/>
        <v>0</v>
      </c>
      <c r="O58" s="45">
        <v>0</v>
      </c>
      <c r="P58" s="46">
        <v>0</v>
      </c>
      <c r="Q58" s="37"/>
      <c r="R58" s="39">
        <f t="shared" si="64"/>
        <v>0</v>
      </c>
      <c r="S58" s="40">
        <f t="shared" si="65"/>
        <v>0</v>
      </c>
      <c r="T58" s="41">
        <v>0</v>
      </c>
      <c r="U58" s="37">
        <f t="shared" si="106"/>
        <v>3</v>
      </c>
      <c r="V58" s="39">
        <f t="shared" si="66"/>
        <v>-0.24579514027200819</v>
      </c>
      <c r="W58" s="40">
        <v>0</v>
      </c>
      <c r="X58" s="8">
        <v>0</v>
      </c>
      <c r="Y58" s="8">
        <v>4319358</v>
      </c>
      <c r="Z58" s="8">
        <v>4319358</v>
      </c>
      <c r="AA58" s="40">
        <v>0</v>
      </c>
      <c r="AB58" s="40">
        <v>35146000</v>
      </c>
      <c r="AC58" s="37">
        <f t="shared" si="67"/>
        <v>3</v>
      </c>
      <c r="AD58" s="38">
        <f t="shared" si="68"/>
        <v>0</v>
      </c>
      <c r="AE58" s="57">
        <v>0</v>
      </c>
      <c r="AF58" s="57">
        <v>629414.30000000005</v>
      </c>
      <c r="AG58" s="37">
        <f t="shared" si="69"/>
        <v>0</v>
      </c>
      <c r="AH58" s="42">
        <f t="shared" si="70"/>
        <v>0</v>
      </c>
      <c r="AI58" s="42">
        <v>6</v>
      </c>
      <c r="AJ58" s="42">
        <v>10</v>
      </c>
      <c r="AK58" s="37"/>
      <c r="AL58" s="42"/>
      <c r="AM58" s="68"/>
      <c r="AN58" s="37"/>
      <c r="AO58" s="37">
        <f t="shared" si="71"/>
        <v>3</v>
      </c>
      <c r="AP58" s="39">
        <f t="shared" si="72"/>
        <v>0</v>
      </c>
      <c r="AQ58" s="57"/>
      <c r="AR58" s="57">
        <v>37167735</v>
      </c>
      <c r="AS58" s="37">
        <f t="shared" si="73"/>
        <v>0</v>
      </c>
      <c r="AT58" s="39">
        <f t="shared" si="74"/>
        <v>0</v>
      </c>
      <c r="AU58" s="45">
        <f t="shared" si="75"/>
        <v>0</v>
      </c>
      <c r="AV58" s="46">
        <f t="shared" si="76"/>
        <v>35146000</v>
      </c>
      <c r="AW58" s="37">
        <f t="shared" ref="AW58:AW67" si="107">IF(AX58/1&lt;$AZ$7/100,0,IF(AX58/1&gt;$AY$7/100,$AW$7,($AY$7-$AZ$7)*AX58))</f>
        <v>0</v>
      </c>
      <c r="AX58" s="39"/>
      <c r="AY58" s="66">
        <v>0</v>
      </c>
      <c r="AZ58" s="68">
        <v>0</v>
      </c>
      <c r="BA58" s="37">
        <v>2</v>
      </c>
      <c r="BB58" s="37" t="s">
        <v>192</v>
      </c>
      <c r="BC58" s="37">
        <v>0</v>
      </c>
      <c r="BD58" s="37">
        <f t="shared" si="77"/>
        <v>1</v>
      </c>
      <c r="BE58" s="39">
        <f t="shared" si="78"/>
        <v>0</v>
      </c>
      <c r="BF58" s="37">
        <v>0</v>
      </c>
      <c r="BG58" s="68">
        <v>0</v>
      </c>
      <c r="BH58" s="37">
        <f t="shared" si="79"/>
        <v>1</v>
      </c>
      <c r="BI58" s="37">
        <v>0</v>
      </c>
      <c r="BJ58" s="37">
        <v>4452840</v>
      </c>
      <c r="BK58" s="37">
        <f t="shared" si="80"/>
        <v>4</v>
      </c>
      <c r="BL58" s="38">
        <f t="shared" si="81"/>
        <v>0</v>
      </c>
      <c r="BM58" s="37">
        <v>0</v>
      </c>
      <c r="BN58" s="68">
        <v>1582.4</v>
      </c>
      <c r="BO58" s="37">
        <v>0</v>
      </c>
      <c r="BP58" s="68">
        <v>258.24</v>
      </c>
      <c r="BQ58" s="37">
        <f t="shared" si="105"/>
        <v>0</v>
      </c>
      <c r="BR58" s="39">
        <f t="shared" si="82"/>
        <v>1.1255214499126218</v>
      </c>
      <c r="BS58" s="37">
        <v>17889200</v>
      </c>
      <c r="BT58" s="37">
        <v>21.6</v>
      </c>
      <c r="BU58" s="37">
        <v>12</v>
      </c>
      <c r="BV58" s="37">
        <v>61320</v>
      </c>
      <c r="BW58" s="37">
        <f t="shared" si="104"/>
        <v>0</v>
      </c>
      <c r="BX58" s="39">
        <f t="shared" si="83"/>
        <v>0.87996254253684625</v>
      </c>
      <c r="BY58" s="37">
        <v>30927163.52</v>
      </c>
      <c r="BZ58" s="66">
        <v>35146000</v>
      </c>
      <c r="CA58" s="48">
        <f t="shared" si="84"/>
        <v>2</v>
      </c>
      <c r="CB58" s="49">
        <f t="shared" si="85"/>
        <v>1</v>
      </c>
      <c r="CC58" s="68">
        <v>1</v>
      </c>
      <c r="CD58" s="37">
        <v>1</v>
      </c>
      <c r="CE58" s="37">
        <v>2</v>
      </c>
      <c r="CF58" s="37">
        <f t="shared" si="86"/>
        <v>3</v>
      </c>
      <c r="CG58" s="39">
        <f t="shared" si="87"/>
        <v>1</v>
      </c>
      <c r="CH58" s="37">
        <v>1</v>
      </c>
      <c r="CI58" s="37">
        <v>1</v>
      </c>
      <c r="CJ58" s="48">
        <f t="shared" si="88"/>
        <v>0</v>
      </c>
      <c r="CK58" s="68">
        <v>1</v>
      </c>
      <c r="CL58" s="37">
        <f t="shared" si="89"/>
        <v>0</v>
      </c>
      <c r="CM58" s="37">
        <v>83</v>
      </c>
      <c r="CN58" s="50">
        <v>88</v>
      </c>
      <c r="CO58" s="48">
        <f t="shared" si="90"/>
        <v>3</v>
      </c>
      <c r="CP58" s="37"/>
      <c r="CQ58" s="48">
        <f t="shared" si="91"/>
        <v>3</v>
      </c>
      <c r="CR58" s="68">
        <v>0</v>
      </c>
      <c r="CS58" s="37"/>
      <c r="CT58" s="37"/>
      <c r="CU58" s="37"/>
      <c r="CV58" s="37">
        <f t="shared" si="92"/>
        <v>5</v>
      </c>
      <c r="CW58" s="37">
        <v>6</v>
      </c>
      <c r="CX58" s="37">
        <v>6</v>
      </c>
      <c r="CY58" s="51">
        <f t="shared" si="93"/>
        <v>4</v>
      </c>
      <c r="CZ58" s="37"/>
      <c r="DA58" s="37">
        <v>4.5999999999999996</v>
      </c>
      <c r="DB58" s="37">
        <f t="shared" si="94"/>
        <v>4</v>
      </c>
      <c r="DC58" s="39">
        <f t="shared" si="95"/>
        <v>1</v>
      </c>
      <c r="DD58" s="37">
        <v>37167735</v>
      </c>
      <c r="DE58" s="37">
        <v>37167735</v>
      </c>
      <c r="DF58" s="37">
        <f t="shared" si="96"/>
        <v>3</v>
      </c>
      <c r="DG58" s="39">
        <f t="shared" si="97"/>
        <v>0</v>
      </c>
      <c r="DH58" s="46">
        <v>0</v>
      </c>
      <c r="DI58" s="46">
        <v>37167735</v>
      </c>
      <c r="DJ58" s="37">
        <f t="shared" si="60"/>
        <v>3</v>
      </c>
      <c r="DK58" s="37"/>
      <c r="DL58" s="37"/>
      <c r="DM58" s="37">
        <f t="shared" si="98"/>
        <v>5</v>
      </c>
      <c r="DN58" s="52">
        <f t="shared" si="99"/>
        <v>1</v>
      </c>
      <c r="DO58" s="58">
        <v>27</v>
      </c>
      <c r="DP58" s="58">
        <v>27</v>
      </c>
      <c r="DQ58" s="37">
        <f t="shared" si="100"/>
        <v>4</v>
      </c>
      <c r="DR58" s="39">
        <f t="shared" si="101"/>
        <v>1</v>
      </c>
      <c r="DS58" s="58">
        <v>36</v>
      </c>
      <c r="DT58" s="58">
        <v>36</v>
      </c>
      <c r="DU58" s="54">
        <f t="shared" si="102"/>
        <v>56</v>
      </c>
      <c r="DV58" s="55">
        <f t="shared" si="103"/>
        <v>49</v>
      </c>
      <c r="DW58" s="4"/>
    </row>
    <row r="59" spans="1:127" ht="150">
      <c r="A59" s="35">
        <v>48</v>
      </c>
      <c r="B59" s="35">
        <v>54</v>
      </c>
      <c r="C59" s="56" t="s">
        <v>164</v>
      </c>
      <c r="D59" s="56" t="s">
        <v>214</v>
      </c>
      <c r="E59" s="37"/>
      <c r="F59" s="38">
        <f t="shared" si="62"/>
        <v>0</v>
      </c>
      <c r="G59" s="57">
        <v>0</v>
      </c>
      <c r="H59" s="57">
        <v>0</v>
      </c>
      <c r="I59" s="37"/>
      <c r="J59" s="39">
        <f t="shared" si="63"/>
        <v>0</v>
      </c>
      <c r="K59" s="46">
        <v>0</v>
      </c>
      <c r="L59" s="46">
        <v>0</v>
      </c>
      <c r="M59" s="37"/>
      <c r="N59" s="39">
        <f t="shared" si="57"/>
        <v>0</v>
      </c>
      <c r="O59" s="45">
        <v>0</v>
      </c>
      <c r="P59" s="46">
        <v>0</v>
      </c>
      <c r="Q59" s="37"/>
      <c r="R59" s="39">
        <f t="shared" si="64"/>
        <v>0</v>
      </c>
      <c r="S59" s="40">
        <f t="shared" si="65"/>
        <v>0</v>
      </c>
      <c r="T59" s="41">
        <v>0</v>
      </c>
      <c r="U59" s="37">
        <f t="shared" si="106"/>
        <v>3</v>
      </c>
      <c r="V59" s="39">
        <f t="shared" si="66"/>
        <v>-6.9991693255067017E-2</v>
      </c>
      <c r="W59" s="40">
        <v>113826.52</v>
      </c>
      <c r="X59" s="8">
        <v>0</v>
      </c>
      <c r="Y59" s="8">
        <v>4006632</v>
      </c>
      <c r="Z59" s="8">
        <v>4006632</v>
      </c>
      <c r="AA59" s="40">
        <v>0</v>
      </c>
      <c r="AB59" s="40">
        <v>112862500</v>
      </c>
      <c r="AC59" s="37">
        <f t="shared" si="67"/>
        <v>3</v>
      </c>
      <c r="AD59" s="38">
        <f t="shared" si="68"/>
        <v>0</v>
      </c>
      <c r="AE59" s="57">
        <v>0</v>
      </c>
      <c r="AF59" s="57">
        <v>2394277.65</v>
      </c>
      <c r="AG59" s="37">
        <f t="shared" si="69"/>
        <v>0</v>
      </c>
      <c r="AH59" s="42">
        <f t="shared" si="70"/>
        <v>-2</v>
      </c>
      <c r="AI59" s="42">
        <v>13</v>
      </c>
      <c r="AJ59" s="42">
        <v>19</v>
      </c>
      <c r="AK59" s="37"/>
      <c r="AL59" s="42"/>
      <c r="AM59" s="37"/>
      <c r="AN59" s="37"/>
      <c r="AO59" s="37">
        <f t="shared" si="71"/>
        <v>3</v>
      </c>
      <c r="AP59" s="39">
        <f t="shared" si="72"/>
        <v>0</v>
      </c>
      <c r="AQ59" s="57"/>
      <c r="AR59" s="57">
        <v>119027500</v>
      </c>
      <c r="AS59" s="37">
        <f t="shared" si="73"/>
        <v>0</v>
      </c>
      <c r="AT59" s="39">
        <f t="shared" si="74"/>
        <v>0</v>
      </c>
      <c r="AU59" s="45">
        <f t="shared" si="75"/>
        <v>0</v>
      </c>
      <c r="AV59" s="46">
        <f t="shared" si="76"/>
        <v>112862500</v>
      </c>
      <c r="AW59" s="37">
        <f t="shared" si="107"/>
        <v>0</v>
      </c>
      <c r="AX59" s="39">
        <f>AY59/AZ59-1</f>
        <v>-1</v>
      </c>
      <c r="AY59" s="66">
        <v>0</v>
      </c>
      <c r="AZ59" s="37">
        <v>5000</v>
      </c>
      <c r="BA59" s="37">
        <v>2</v>
      </c>
      <c r="BB59" s="37" t="s">
        <v>192</v>
      </c>
      <c r="BC59" s="37">
        <v>0</v>
      </c>
      <c r="BD59" s="37">
        <f t="shared" si="77"/>
        <v>1</v>
      </c>
      <c r="BE59" s="39">
        <f t="shared" si="78"/>
        <v>0</v>
      </c>
      <c r="BF59" s="37">
        <v>0</v>
      </c>
      <c r="BG59" s="37">
        <v>25489.21</v>
      </c>
      <c r="BH59" s="37">
        <f t="shared" si="79"/>
        <v>1</v>
      </c>
      <c r="BI59" s="37">
        <v>0</v>
      </c>
      <c r="BJ59" s="37">
        <v>8272227.3200000003</v>
      </c>
      <c r="BK59" s="37">
        <f t="shared" si="80"/>
        <v>4</v>
      </c>
      <c r="BL59" s="38">
        <f t="shared" si="81"/>
        <v>0</v>
      </c>
      <c r="BM59" s="37">
        <v>0</v>
      </c>
      <c r="BN59" s="37">
        <v>3023.17</v>
      </c>
      <c r="BO59" s="37">
        <v>0</v>
      </c>
      <c r="BP59" s="37">
        <v>7436.64</v>
      </c>
      <c r="BQ59" s="37">
        <f t="shared" si="105"/>
        <v>0</v>
      </c>
      <c r="BR59" s="39">
        <f t="shared" si="82"/>
        <v>1.0536594352609858</v>
      </c>
      <c r="BS59" s="37">
        <v>48225200</v>
      </c>
      <c r="BT59" s="37">
        <v>62.2</v>
      </c>
      <c r="BU59" s="37">
        <v>12</v>
      </c>
      <c r="BV59" s="44">
        <v>61320</v>
      </c>
      <c r="BW59" s="37">
        <f t="shared" si="104"/>
        <v>0</v>
      </c>
      <c r="BX59" s="39">
        <f t="shared" si="83"/>
        <v>0.81777827001882819</v>
      </c>
      <c r="BY59" s="37">
        <v>92296500</v>
      </c>
      <c r="BZ59" s="66">
        <v>112862500</v>
      </c>
      <c r="CA59" s="48">
        <f t="shared" si="84"/>
        <v>2</v>
      </c>
      <c r="CB59" s="49">
        <f t="shared" si="85"/>
        <v>2</v>
      </c>
      <c r="CC59" s="37">
        <v>2</v>
      </c>
      <c r="CD59" s="37">
        <v>2</v>
      </c>
      <c r="CE59" s="37">
        <v>2</v>
      </c>
      <c r="CF59" s="37">
        <f t="shared" si="86"/>
        <v>3</v>
      </c>
      <c r="CG59" s="39">
        <f t="shared" si="87"/>
        <v>1</v>
      </c>
      <c r="CH59" s="37">
        <v>12</v>
      </c>
      <c r="CI59" s="37">
        <v>12</v>
      </c>
      <c r="CJ59" s="48">
        <f t="shared" si="88"/>
        <v>0</v>
      </c>
      <c r="CK59" s="37">
        <v>1</v>
      </c>
      <c r="CL59" s="37">
        <f t="shared" si="89"/>
        <v>0</v>
      </c>
      <c r="CM59" s="37">
        <v>78</v>
      </c>
      <c r="CN59" s="50">
        <v>88</v>
      </c>
      <c r="CO59" s="48">
        <f t="shared" si="90"/>
        <v>3</v>
      </c>
      <c r="CP59" s="37"/>
      <c r="CQ59" s="48">
        <f t="shared" si="91"/>
        <v>3</v>
      </c>
      <c r="CR59" s="37"/>
      <c r="CS59" s="37"/>
      <c r="CT59" s="37"/>
      <c r="CU59" s="37"/>
      <c r="CV59" s="37">
        <f t="shared" si="92"/>
        <v>5</v>
      </c>
      <c r="CW59" s="37">
        <v>6</v>
      </c>
      <c r="CX59" s="37">
        <v>6</v>
      </c>
      <c r="CY59" s="51">
        <f t="shared" si="93"/>
        <v>4</v>
      </c>
      <c r="CZ59" s="37"/>
      <c r="DA59" s="37">
        <v>24.22</v>
      </c>
      <c r="DB59" s="37">
        <f t="shared" si="94"/>
        <v>4</v>
      </c>
      <c r="DC59" s="39">
        <f t="shared" si="95"/>
        <v>0.99943202458486202</v>
      </c>
      <c r="DD59" s="44">
        <v>119127.6</v>
      </c>
      <c r="DE59" s="44">
        <v>119195.3</v>
      </c>
      <c r="DF59" s="37">
        <f t="shared" si="96"/>
        <v>3</v>
      </c>
      <c r="DG59" s="39">
        <f t="shared" si="97"/>
        <v>0</v>
      </c>
      <c r="DH59" s="46">
        <v>0</v>
      </c>
      <c r="DI59" s="11">
        <v>119127.6</v>
      </c>
      <c r="DJ59" s="37">
        <f t="shared" si="60"/>
        <v>3</v>
      </c>
      <c r="DK59" s="37"/>
      <c r="DL59" s="37"/>
      <c r="DM59" s="37">
        <f t="shared" si="98"/>
        <v>5</v>
      </c>
      <c r="DN59" s="52">
        <f t="shared" si="99"/>
        <v>1</v>
      </c>
      <c r="DO59" s="53">
        <v>27</v>
      </c>
      <c r="DP59" s="53">
        <v>27</v>
      </c>
      <c r="DQ59" s="37">
        <f t="shared" si="100"/>
        <v>4</v>
      </c>
      <c r="DR59" s="39">
        <f t="shared" si="101"/>
        <v>1</v>
      </c>
      <c r="DS59" s="58">
        <v>119</v>
      </c>
      <c r="DT59" s="58">
        <v>119</v>
      </c>
      <c r="DU59" s="54">
        <f t="shared" si="102"/>
        <v>56</v>
      </c>
      <c r="DV59" s="55">
        <f t="shared" si="103"/>
        <v>49</v>
      </c>
      <c r="DW59" s="4"/>
    </row>
    <row r="60" spans="1:127" ht="150">
      <c r="A60" s="35">
        <v>32</v>
      </c>
      <c r="B60" s="35">
        <v>41</v>
      </c>
      <c r="C60" s="56" t="s">
        <v>164</v>
      </c>
      <c r="D60" s="56" t="s">
        <v>197</v>
      </c>
      <c r="E60" s="37">
        <f>IF(F60&gt;1,0,IF(G60/H60&lt;$H$7/100,0,IF(G60/H60&gt;$G$7/100,3,$E$7*(G60/H60-$H$7/100)/(($G$7-$H$7)/100))))</f>
        <v>3</v>
      </c>
      <c r="F60" s="38">
        <f t="shared" si="62"/>
        <v>1</v>
      </c>
      <c r="G60" s="57">
        <v>542000</v>
      </c>
      <c r="H60" s="57">
        <v>542000</v>
      </c>
      <c r="I60" s="37">
        <f>IF(K60/L60&lt;$L$7/100,0,IF(K60/L60&gt;$K$7/100,3,$I$7*(K60/L60-$L$7/100)/(($K$7-$L$7)/100)))</f>
        <v>0</v>
      </c>
      <c r="J60" s="39">
        <f t="shared" si="63"/>
        <v>0.68847352024922115</v>
      </c>
      <c r="K60" s="46">
        <v>442000</v>
      </c>
      <c r="L60" s="46">
        <v>642000</v>
      </c>
      <c r="M60" s="37"/>
      <c r="N60" s="39">
        <f t="shared" si="57"/>
        <v>0</v>
      </c>
      <c r="O60" s="45">
        <v>542000</v>
      </c>
      <c r="P60" s="46">
        <v>0</v>
      </c>
      <c r="Q60" s="37">
        <f>IF(S60/T60&lt;$T$7/100,0,IF(S60/T60&gt;$S$7/100,3,$Q$7*(S60/T60-$T$7/100)/(($S$7-$T$7)/100)))</f>
        <v>0</v>
      </c>
      <c r="R60" s="39">
        <f t="shared" si="64"/>
        <v>0.68847352024922115</v>
      </c>
      <c r="S60" s="40">
        <f t="shared" si="65"/>
        <v>442000</v>
      </c>
      <c r="T60" s="41">
        <v>642000</v>
      </c>
      <c r="U60" s="37">
        <f t="shared" si="106"/>
        <v>3</v>
      </c>
      <c r="V60" s="39">
        <f t="shared" si="66"/>
        <v>-0.2034500385476519</v>
      </c>
      <c r="W60" s="40">
        <v>0</v>
      </c>
      <c r="X60" s="8">
        <v>0</v>
      </c>
      <c r="Y60" s="8">
        <v>7982799.6799999997</v>
      </c>
      <c r="Z60" s="8">
        <v>7982799.6799999997</v>
      </c>
      <c r="AA60" s="40">
        <v>0</v>
      </c>
      <c r="AB60" s="40">
        <v>78474300</v>
      </c>
      <c r="AC60" s="37">
        <f t="shared" si="67"/>
        <v>0</v>
      </c>
      <c r="AD60" s="38">
        <f t="shared" si="68"/>
        <v>0.32662509370945991</v>
      </c>
      <c r="AE60" s="57">
        <v>1700000</v>
      </c>
      <c r="AF60" s="57">
        <v>5204744.01</v>
      </c>
      <c r="AG60" s="37">
        <f t="shared" si="69"/>
        <v>0</v>
      </c>
      <c r="AH60" s="42">
        <f t="shared" si="70"/>
        <v>-1</v>
      </c>
      <c r="AI60" s="42">
        <v>18</v>
      </c>
      <c r="AJ60" s="42">
        <v>23</v>
      </c>
      <c r="AK60" s="37">
        <f>IF(AL60&gt;0,IF(AL60&gt;4,0,1),0)</f>
        <v>0</v>
      </c>
      <c r="AL60" s="42"/>
      <c r="AM60" s="68"/>
      <c r="AN60" s="37"/>
      <c r="AO60" s="37">
        <f t="shared" si="71"/>
        <v>2.9418664693318268</v>
      </c>
      <c r="AP60" s="39">
        <f t="shared" si="72"/>
        <v>1.9377843556057709E-2</v>
      </c>
      <c r="AQ60" s="57">
        <v>1700000</v>
      </c>
      <c r="AR60" s="57">
        <v>87729060</v>
      </c>
      <c r="AS60" s="37">
        <f t="shared" si="73"/>
        <v>0</v>
      </c>
      <c r="AT60" s="39">
        <f t="shared" si="74"/>
        <v>6.859344211257677E-3</v>
      </c>
      <c r="AU60" s="45">
        <f t="shared" si="75"/>
        <v>542000</v>
      </c>
      <c r="AV60" s="46">
        <f t="shared" si="76"/>
        <v>78474300</v>
      </c>
      <c r="AW60" s="37">
        <f t="shared" si="107"/>
        <v>0</v>
      </c>
      <c r="AX60" s="39">
        <f>AY60/AZ60-1</f>
        <v>-0.17925177563275452</v>
      </c>
      <c r="AY60" s="66">
        <v>542000</v>
      </c>
      <c r="AZ60" s="68">
        <v>660373.04</v>
      </c>
      <c r="BA60" s="37">
        <v>2</v>
      </c>
      <c r="BB60" s="37">
        <v>542000</v>
      </c>
      <c r="BC60" s="37">
        <v>0</v>
      </c>
      <c r="BD60" s="37">
        <f t="shared" si="77"/>
        <v>1</v>
      </c>
      <c r="BE60" s="39">
        <f t="shared" si="78"/>
        <v>0</v>
      </c>
      <c r="BF60" s="37">
        <v>0</v>
      </c>
      <c r="BG60" s="68">
        <v>0</v>
      </c>
      <c r="BH60" s="37">
        <f t="shared" si="79"/>
        <v>1</v>
      </c>
      <c r="BI60" s="37">
        <v>0</v>
      </c>
      <c r="BJ60" s="37">
        <v>5859000</v>
      </c>
      <c r="BK60" s="37">
        <f t="shared" si="80"/>
        <v>4</v>
      </c>
      <c r="BL60" s="38">
        <f t="shared" si="81"/>
        <v>0</v>
      </c>
      <c r="BM60" s="37">
        <v>0</v>
      </c>
      <c r="BN60" s="68">
        <v>3186.4</v>
      </c>
      <c r="BO60" s="37">
        <v>0</v>
      </c>
      <c r="BP60" s="68">
        <v>1354.61</v>
      </c>
      <c r="BQ60" s="37">
        <f t="shared" si="105"/>
        <v>0</v>
      </c>
      <c r="BR60" s="39">
        <f t="shared" si="82"/>
        <v>1.1226420222607867</v>
      </c>
      <c r="BS60" s="37">
        <v>35026000</v>
      </c>
      <c r="BT60" s="37">
        <v>42.4</v>
      </c>
      <c r="BU60" s="37">
        <v>12</v>
      </c>
      <c r="BV60" s="37">
        <v>61320</v>
      </c>
      <c r="BW60" s="37">
        <f t="shared" si="104"/>
        <v>0</v>
      </c>
      <c r="BX60" s="39">
        <f t="shared" si="83"/>
        <v>0.82950938540528985</v>
      </c>
      <c r="BY60" s="37">
        <v>65544762.450000003</v>
      </c>
      <c r="BZ60" s="66">
        <v>79016300</v>
      </c>
      <c r="CA60" s="48">
        <f t="shared" si="84"/>
        <v>2</v>
      </c>
      <c r="CB60" s="49">
        <f t="shared" si="85"/>
        <v>1</v>
      </c>
      <c r="CC60" s="68">
        <v>0</v>
      </c>
      <c r="CD60" s="37">
        <v>2</v>
      </c>
      <c r="CE60" s="37">
        <v>2</v>
      </c>
      <c r="CF60" s="37">
        <f t="shared" si="86"/>
        <v>3</v>
      </c>
      <c r="CG60" s="39">
        <f t="shared" si="87"/>
        <v>1</v>
      </c>
      <c r="CH60" s="37">
        <v>1</v>
      </c>
      <c r="CI60" s="37">
        <v>1</v>
      </c>
      <c r="CJ60" s="48">
        <f t="shared" si="88"/>
        <v>0</v>
      </c>
      <c r="CK60" s="68">
        <v>1</v>
      </c>
      <c r="CL60" s="37">
        <f t="shared" si="89"/>
        <v>0</v>
      </c>
      <c r="CM60" s="37">
        <v>77</v>
      </c>
      <c r="CN60" s="50">
        <v>88</v>
      </c>
      <c r="CO60" s="48">
        <f t="shared" si="90"/>
        <v>3</v>
      </c>
      <c r="CP60" s="37"/>
      <c r="CQ60" s="48">
        <f t="shared" si="91"/>
        <v>3</v>
      </c>
      <c r="CR60" s="68">
        <v>0</v>
      </c>
      <c r="CS60" s="37"/>
      <c r="CT60" s="37"/>
      <c r="CU60" s="37"/>
      <c r="CV60" s="37">
        <f t="shared" si="92"/>
        <v>5</v>
      </c>
      <c r="CW60" s="37">
        <v>6</v>
      </c>
      <c r="CX60" s="37">
        <v>6</v>
      </c>
      <c r="CY60" s="51">
        <f t="shared" si="93"/>
        <v>4</v>
      </c>
      <c r="CZ60" s="37"/>
      <c r="DA60" s="37">
        <v>18.7</v>
      </c>
      <c r="DB60" s="37">
        <f t="shared" si="94"/>
        <v>4</v>
      </c>
      <c r="DC60" s="39">
        <f t="shared" si="95"/>
        <v>1</v>
      </c>
      <c r="DD60" s="37">
        <v>86471060</v>
      </c>
      <c r="DE60" s="37">
        <v>86471060</v>
      </c>
      <c r="DF60" s="37">
        <f t="shared" si="96"/>
        <v>3</v>
      </c>
      <c r="DG60" s="39">
        <f t="shared" si="97"/>
        <v>0</v>
      </c>
      <c r="DH60" s="46">
        <v>0</v>
      </c>
      <c r="DI60" s="46">
        <v>86029060</v>
      </c>
      <c r="DJ60" s="37">
        <f t="shared" si="60"/>
        <v>3</v>
      </c>
      <c r="DK60" s="37"/>
      <c r="DL60" s="37"/>
      <c r="DM60" s="37">
        <f t="shared" si="98"/>
        <v>5</v>
      </c>
      <c r="DN60" s="52">
        <f t="shared" si="99"/>
        <v>1</v>
      </c>
      <c r="DO60" s="58">
        <v>30</v>
      </c>
      <c r="DP60" s="58">
        <v>30</v>
      </c>
      <c r="DQ60" s="37">
        <f t="shared" si="100"/>
        <v>4</v>
      </c>
      <c r="DR60" s="39">
        <f t="shared" si="101"/>
        <v>1</v>
      </c>
      <c r="DS60" s="58">
        <v>76</v>
      </c>
      <c r="DT60" s="58">
        <v>76</v>
      </c>
      <c r="DU60" s="54">
        <f t="shared" si="102"/>
        <v>55.941866469331828</v>
      </c>
      <c r="DV60" s="55">
        <f t="shared" si="103"/>
        <v>52</v>
      </c>
      <c r="DW60" s="4"/>
    </row>
    <row r="61" spans="1:127" ht="150">
      <c r="A61" s="35">
        <v>33</v>
      </c>
      <c r="B61" s="35">
        <v>40</v>
      </c>
      <c r="C61" s="56" t="s">
        <v>164</v>
      </c>
      <c r="D61" s="56" t="s">
        <v>198</v>
      </c>
      <c r="E61" s="37"/>
      <c r="F61" s="38">
        <f t="shared" si="62"/>
        <v>0</v>
      </c>
      <c r="G61" s="57">
        <v>0</v>
      </c>
      <c r="H61" s="57">
        <v>0</v>
      </c>
      <c r="I61" s="37"/>
      <c r="J61" s="39">
        <f t="shared" si="63"/>
        <v>0</v>
      </c>
      <c r="K61" s="46">
        <v>0</v>
      </c>
      <c r="L61" s="46">
        <v>0</v>
      </c>
      <c r="M61" s="37"/>
      <c r="N61" s="39">
        <f t="shared" si="57"/>
        <v>0</v>
      </c>
      <c r="O61" s="45">
        <v>0</v>
      </c>
      <c r="P61" s="46">
        <v>0</v>
      </c>
      <c r="Q61" s="37"/>
      <c r="R61" s="39">
        <f t="shared" si="64"/>
        <v>0</v>
      </c>
      <c r="S61" s="40">
        <f t="shared" si="65"/>
        <v>0</v>
      </c>
      <c r="T61" s="41">
        <v>0</v>
      </c>
      <c r="U61" s="37">
        <f t="shared" si="106"/>
        <v>3</v>
      </c>
      <c r="V61" s="39">
        <f t="shared" si="66"/>
        <v>-0.26863728093213063</v>
      </c>
      <c r="W61" s="40">
        <v>0</v>
      </c>
      <c r="X61" s="8">
        <v>0</v>
      </c>
      <c r="Y61" s="8">
        <v>10637928.869999999</v>
      </c>
      <c r="Z61" s="8">
        <v>10637928.869999999</v>
      </c>
      <c r="AA61" s="40">
        <v>0</v>
      </c>
      <c r="AB61" s="40">
        <v>79199200</v>
      </c>
      <c r="AC61" s="37">
        <f t="shared" si="67"/>
        <v>0</v>
      </c>
      <c r="AD61" s="38">
        <f t="shared" si="68"/>
        <v>0.90121008119079327</v>
      </c>
      <c r="AE61" s="57">
        <v>1160000</v>
      </c>
      <c r="AF61" s="57">
        <v>1287158.2599999998</v>
      </c>
      <c r="AG61" s="37">
        <f t="shared" si="69"/>
        <v>0</v>
      </c>
      <c r="AH61" s="42">
        <f t="shared" si="70"/>
        <v>1</v>
      </c>
      <c r="AI61" s="42">
        <v>14</v>
      </c>
      <c r="AJ61" s="42">
        <v>17</v>
      </c>
      <c r="AK61" s="37">
        <f>IF(AL61&gt;0,IF(AL61&gt;4,0,1),0)</f>
        <v>0</v>
      </c>
      <c r="AL61" s="42"/>
      <c r="AM61" s="68"/>
      <c r="AN61" s="37"/>
      <c r="AO61" s="37">
        <f t="shared" si="71"/>
        <v>2.958948786475994</v>
      </c>
      <c r="AP61" s="39">
        <f t="shared" si="72"/>
        <v>1.3683737841335385E-2</v>
      </c>
      <c r="AQ61" s="57">
        <v>1160000</v>
      </c>
      <c r="AR61" s="57">
        <v>84772159</v>
      </c>
      <c r="AS61" s="37">
        <f t="shared" si="73"/>
        <v>0</v>
      </c>
      <c r="AT61" s="39">
        <f t="shared" si="74"/>
        <v>0</v>
      </c>
      <c r="AU61" s="45">
        <f t="shared" si="75"/>
        <v>0</v>
      </c>
      <c r="AV61" s="46">
        <f t="shared" si="76"/>
        <v>79199200</v>
      </c>
      <c r="AW61" s="37">
        <f t="shared" si="107"/>
        <v>0</v>
      </c>
      <c r="AX61" s="39"/>
      <c r="AY61" s="66">
        <v>0</v>
      </c>
      <c r="AZ61" s="68">
        <v>283240</v>
      </c>
      <c r="BA61" s="37">
        <v>2</v>
      </c>
      <c r="BB61" s="37" t="s">
        <v>192</v>
      </c>
      <c r="BC61" s="37">
        <v>0</v>
      </c>
      <c r="BD61" s="37">
        <f t="shared" si="77"/>
        <v>1</v>
      </c>
      <c r="BE61" s="39">
        <f t="shared" si="78"/>
        <v>0</v>
      </c>
      <c r="BF61" s="37">
        <v>0</v>
      </c>
      <c r="BG61" s="68">
        <v>212000</v>
      </c>
      <c r="BH61" s="37">
        <f t="shared" si="79"/>
        <v>1</v>
      </c>
      <c r="BI61" s="37">
        <v>0</v>
      </c>
      <c r="BJ61" s="37">
        <v>7128531.2300000004</v>
      </c>
      <c r="BK61" s="37">
        <f t="shared" si="80"/>
        <v>4</v>
      </c>
      <c r="BL61" s="38">
        <f t="shared" si="81"/>
        <v>0</v>
      </c>
      <c r="BM61" s="37">
        <v>0</v>
      </c>
      <c r="BN61" s="68">
        <v>11390.79</v>
      </c>
      <c r="BO61" s="37">
        <v>0</v>
      </c>
      <c r="BP61" s="68">
        <v>3122.01</v>
      </c>
      <c r="BQ61" s="37">
        <f t="shared" si="105"/>
        <v>2</v>
      </c>
      <c r="BR61" s="39">
        <f t="shared" si="82"/>
        <v>0.99930344163464979</v>
      </c>
      <c r="BS61" s="37">
        <v>34045660.68</v>
      </c>
      <c r="BT61" s="37">
        <v>46.3</v>
      </c>
      <c r="BU61" s="37">
        <v>12</v>
      </c>
      <c r="BV61" s="37">
        <v>61320</v>
      </c>
      <c r="BW61" s="37">
        <f t="shared" si="104"/>
        <v>0</v>
      </c>
      <c r="BX61" s="39">
        <f t="shared" si="83"/>
        <v>0.82204158943524686</v>
      </c>
      <c r="BY61" s="37">
        <v>65105036.25</v>
      </c>
      <c r="BZ61" s="66">
        <v>79199200</v>
      </c>
      <c r="CA61" s="48">
        <f t="shared" si="84"/>
        <v>2</v>
      </c>
      <c r="CB61" s="49">
        <f t="shared" si="85"/>
        <v>2</v>
      </c>
      <c r="CC61" s="68">
        <v>2</v>
      </c>
      <c r="CD61" s="37">
        <v>2</v>
      </c>
      <c r="CE61" s="37">
        <v>2</v>
      </c>
      <c r="CF61" s="37">
        <f t="shared" si="86"/>
        <v>3</v>
      </c>
      <c r="CG61" s="39">
        <f t="shared" si="87"/>
        <v>1</v>
      </c>
      <c r="CH61" s="37">
        <v>1</v>
      </c>
      <c r="CI61" s="37">
        <v>1</v>
      </c>
      <c r="CJ61" s="48">
        <f t="shared" si="88"/>
        <v>0</v>
      </c>
      <c r="CK61" s="68">
        <v>1</v>
      </c>
      <c r="CL61" s="37">
        <f t="shared" si="89"/>
        <v>0</v>
      </c>
      <c r="CM61" s="37">
        <v>78</v>
      </c>
      <c r="CN61" s="50">
        <v>88</v>
      </c>
      <c r="CO61" s="48">
        <f t="shared" si="90"/>
        <v>3</v>
      </c>
      <c r="CP61" s="37"/>
      <c r="CQ61" s="48">
        <f t="shared" si="91"/>
        <v>3</v>
      </c>
      <c r="CR61" s="68">
        <v>0</v>
      </c>
      <c r="CS61" s="37"/>
      <c r="CT61" s="37"/>
      <c r="CU61" s="37"/>
      <c r="CV61" s="37">
        <f t="shared" si="92"/>
        <v>5</v>
      </c>
      <c r="CW61" s="37">
        <v>6</v>
      </c>
      <c r="CX61" s="37">
        <v>6</v>
      </c>
      <c r="CY61" s="51">
        <f t="shared" si="93"/>
        <v>4</v>
      </c>
      <c r="CZ61" s="37"/>
      <c r="DA61" s="37">
        <v>0</v>
      </c>
      <c r="DB61" s="37">
        <f t="shared" si="94"/>
        <v>4</v>
      </c>
      <c r="DC61" s="39">
        <f t="shared" si="95"/>
        <v>1</v>
      </c>
      <c r="DD61" s="37">
        <v>83612159</v>
      </c>
      <c r="DE61" s="37">
        <v>83612159</v>
      </c>
      <c r="DF61" s="37">
        <f t="shared" si="96"/>
        <v>3</v>
      </c>
      <c r="DG61" s="39">
        <f t="shared" si="97"/>
        <v>0</v>
      </c>
      <c r="DH61" s="46">
        <v>0</v>
      </c>
      <c r="DI61" s="46">
        <v>83612159</v>
      </c>
      <c r="DJ61" s="37">
        <f t="shared" si="60"/>
        <v>3</v>
      </c>
      <c r="DK61" s="37"/>
      <c r="DL61" s="37"/>
      <c r="DM61" s="37">
        <f t="shared" si="98"/>
        <v>5</v>
      </c>
      <c r="DN61" s="52">
        <f t="shared" si="99"/>
        <v>1</v>
      </c>
      <c r="DO61" s="58">
        <v>46</v>
      </c>
      <c r="DP61" s="58">
        <v>46</v>
      </c>
      <c r="DQ61" s="37">
        <f t="shared" si="100"/>
        <v>4</v>
      </c>
      <c r="DR61" s="39">
        <f t="shared" si="101"/>
        <v>1</v>
      </c>
      <c r="DS61" s="58">
        <v>74</v>
      </c>
      <c r="DT61" s="58">
        <v>74</v>
      </c>
      <c r="DU61" s="54">
        <f t="shared" si="102"/>
        <v>54.958948786475993</v>
      </c>
      <c r="DV61" s="55">
        <f t="shared" si="103"/>
        <v>53</v>
      </c>
      <c r="DW61" s="4"/>
    </row>
    <row r="62" spans="1:127" ht="135">
      <c r="A62" s="35">
        <v>40</v>
      </c>
      <c r="B62" s="35">
        <v>47</v>
      </c>
      <c r="C62" s="36" t="s">
        <v>164</v>
      </c>
      <c r="D62" s="36" t="s">
        <v>205</v>
      </c>
      <c r="E62" s="37"/>
      <c r="F62" s="38">
        <f t="shared" si="62"/>
        <v>0</v>
      </c>
      <c r="G62" s="9">
        <v>0</v>
      </c>
      <c r="H62" s="9">
        <v>0</v>
      </c>
      <c r="I62" s="37"/>
      <c r="J62" s="39">
        <f t="shared" si="63"/>
        <v>0</v>
      </c>
      <c r="K62" s="11">
        <v>0</v>
      </c>
      <c r="L62" s="11">
        <v>0</v>
      </c>
      <c r="M62" s="37"/>
      <c r="N62" s="39">
        <f t="shared" si="57"/>
        <v>0</v>
      </c>
      <c r="O62" s="10">
        <v>0</v>
      </c>
      <c r="P62" s="11">
        <v>0</v>
      </c>
      <c r="Q62" s="37"/>
      <c r="R62" s="39">
        <f t="shared" si="64"/>
        <v>0</v>
      </c>
      <c r="S62" s="40">
        <f t="shared" si="65"/>
        <v>0</v>
      </c>
      <c r="T62" s="41">
        <v>0</v>
      </c>
      <c r="U62" s="37">
        <f t="shared" si="106"/>
        <v>3</v>
      </c>
      <c r="V62" s="39">
        <f t="shared" si="66"/>
        <v>-0.13599383178375099</v>
      </c>
      <c r="W62" s="40">
        <v>16504.7</v>
      </c>
      <c r="X62" s="8">
        <v>67784.31</v>
      </c>
      <c r="Y62" s="8">
        <v>6605480.6299999999</v>
      </c>
      <c r="Z62" s="8">
        <v>6605480.6299999999</v>
      </c>
      <c r="AA62" s="40">
        <v>0</v>
      </c>
      <c r="AB62" s="40">
        <v>97520900</v>
      </c>
      <c r="AC62" s="37">
        <f t="shared" si="67"/>
        <v>0</v>
      </c>
      <c r="AD62" s="38">
        <f t="shared" si="68"/>
        <v>0.35947709460307936</v>
      </c>
      <c r="AE62" s="9">
        <v>4178000</v>
      </c>
      <c r="AF62" s="9">
        <v>11622437.32</v>
      </c>
      <c r="AG62" s="37">
        <f t="shared" si="69"/>
        <v>0</v>
      </c>
      <c r="AH62" s="42">
        <f t="shared" si="70"/>
        <v>1</v>
      </c>
      <c r="AI62" s="43">
        <v>5</v>
      </c>
      <c r="AJ62" s="43">
        <v>8</v>
      </c>
      <c r="AK62" s="44"/>
      <c r="AL62" s="43"/>
      <c r="AM62" s="44"/>
      <c r="AN62" s="44"/>
      <c r="AO62" s="37">
        <f t="shared" si="71"/>
        <v>2.8917270042302921</v>
      </c>
      <c r="AP62" s="39">
        <f t="shared" si="72"/>
        <v>3.6090998589902661E-2</v>
      </c>
      <c r="AQ62" s="9">
        <v>4178000</v>
      </c>
      <c r="AR62" s="9">
        <v>115762937.11</v>
      </c>
      <c r="AS62" s="37">
        <f t="shared" si="73"/>
        <v>0</v>
      </c>
      <c r="AT62" s="39">
        <f t="shared" si="74"/>
        <v>0</v>
      </c>
      <c r="AU62" s="45">
        <f t="shared" si="75"/>
        <v>0</v>
      </c>
      <c r="AV62" s="46">
        <f t="shared" si="76"/>
        <v>97520900</v>
      </c>
      <c r="AW62" s="37">
        <f t="shared" si="107"/>
        <v>0</v>
      </c>
      <c r="AX62" s="39"/>
      <c r="AY62" s="47">
        <v>0</v>
      </c>
      <c r="AZ62" s="44"/>
      <c r="BA62" s="44">
        <v>2</v>
      </c>
      <c r="BB62" s="44" t="s">
        <v>192</v>
      </c>
      <c r="BC62" s="37">
        <v>0</v>
      </c>
      <c r="BD62" s="37">
        <f t="shared" si="77"/>
        <v>1</v>
      </c>
      <c r="BE62" s="39">
        <f t="shared" si="78"/>
        <v>0</v>
      </c>
      <c r="BF62" s="37">
        <v>0</v>
      </c>
      <c r="BG62" s="44">
        <v>67784.31</v>
      </c>
      <c r="BH62" s="37">
        <f t="shared" si="79"/>
        <v>1</v>
      </c>
      <c r="BI62" s="37">
        <v>0</v>
      </c>
      <c r="BJ62" s="44">
        <v>6796440</v>
      </c>
      <c r="BK62" s="37">
        <f t="shared" si="80"/>
        <v>4</v>
      </c>
      <c r="BL62" s="38">
        <f t="shared" si="81"/>
        <v>0</v>
      </c>
      <c r="BM62" s="37">
        <v>0</v>
      </c>
      <c r="BN62" s="44">
        <v>5197.74</v>
      </c>
      <c r="BO62" s="37">
        <v>0</v>
      </c>
      <c r="BP62" s="44">
        <v>11783.38</v>
      </c>
      <c r="BQ62" s="37">
        <f t="shared" si="105"/>
        <v>0</v>
      </c>
      <c r="BR62" s="39">
        <f t="shared" si="82"/>
        <v>1.1084299349496267</v>
      </c>
      <c r="BS62" s="44">
        <v>39150100</v>
      </c>
      <c r="BT62" s="44">
        <v>48</v>
      </c>
      <c r="BU62" s="44">
        <v>12</v>
      </c>
      <c r="BV62" s="44">
        <v>61320</v>
      </c>
      <c r="BW62" s="37">
        <f t="shared" si="104"/>
        <v>2</v>
      </c>
      <c r="BX62" s="39">
        <f t="shared" si="83"/>
        <v>0.78348934433541939</v>
      </c>
      <c r="BY62" s="44">
        <v>76406586</v>
      </c>
      <c r="BZ62" s="47">
        <v>97520900</v>
      </c>
      <c r="CA62" s="48">
        <f t="shared" si="84"/>
        <v>2</v>
      </c>
      <c r="CB62" s="49">
        <f t="shared" si="85"/>
        <v>2</v>
      </c>
      <c r="CC62" s="44">
        <v>2</v>
      </c>
      <c r="CD62" s="44">
        <v>2</v>
      </c>
      <c r="CE62" s="44">
        <v>2</v>
      </c>
      <c r="CF62" s="37">
        <f t="shared" si="86"/>
        <v>3</v>
      </c>
      <c r="CG62" s="39">
        <f t="shared" si="87"/>
        <v>1</v>
      </c>
      <c r="CH62" s="44">
        <v>100</v>
      </c>
      <c r="CI62" s="44">
        <v>100</v>
      </c>
      <c r="CJ62" s="48">
        <f t="shared" si="88"/>
        <v>0</v>
      </c>
      <c r="CK62" s="44">
        <v>1</v>
      </c>
      <c r="CL62" s="37">
        <f t="shared" si="89"/>
        <v>0</v>
      </c>
      <c r="CM62" s="44">
        <v>78</v>
      </c>
      <c r="CN62" s="50">
        <v>88</v>
      </c>
      <c r="CO62" s="48">
        <f t="shared" si="90"/>
        <v>3</v>
      </c>
      <c r="CP62" s="44"/>
      <c r="CQ62" s="48">
        <f t="shared" si="91"/>
        <v>3</v>
      </c>
      <c r="CR62" s="44"/>
      <c r="CS62" s="37"/>
      <c r="CT62" s="44"/>
      <c r="CU62" s="44"/>
      <c r="CV62" s="37">
        <f t="shared" si="92"/>
        <v>5</v>
      </c>
      <c r="CW62" s="44">
        <v>6</v>
      </c>
      <c r="CX62" s="44">
        <v>6</v>
      </c>
      <c r="CY62" s="51">
        <f t="shared" si="93"/>
        <v>4</v>
      </c>
      <c r="CZ62" s="44"/>
      <c r="DA62" s="44">
        <v>36.9</v>
      </c>
      <c r="DB62" s="37">
        <f t="shared" si="94"/>
        <v>4</v>
      </c>
      <c r="DC62" s="39">
        <f t="shared" si="95"/>
        <v>1</v>
      </c>
      <c r="DD62" s="44">
        <v>111818991.09999999</v>
      </c>
      <c r="DE62" s="44">
        <v>111818991.09999999</v>
      </c>
      <c r="DF62" s="37">
        <f t="shared" si="96"/>
        <v>3</v>
      </c>
      <c r="DG62" s="39">
        <f t="shared" si="97"/>
        <v>0</v>
      </c>
      <c r="DH62" s="46">
        <v>0</v>
      </c>
      <c r="DI62" s="11">
        <v>111818991.09999999</v>
      </c>
      <c r="DJ62" s="37">
        <f t="shared" si="60"/>
        <v>3</v>
      </c>
      <c r="DK62" s="44"/>
      <c r="DL62" s="44"/>
      <c r="DM62" s="37">
        <f t="shared" si="98"/>
        <v>5</v>
      </c>
      <c r="DN62" s="52">
        <f t="shared" si="99"/>
        <v>1</v>
      </c>
      <c r="DO62" s="53">
        <v>46</v>
      </c>
      <c r="DP62" s="53">
        <v>46</v>
      </c>
      <c r="DQ62" s="37">
        <f t="shared" si="100"/>
        <v>4</v>
      </c>
      <c r="DR62" s="39">
        <f t="shared" si="101"/>
        <v>1</v>
      </c>
      <c r="DS62" s="53">
        <v>92</v>
      </c>
      <c r="DT62" s="53">
        <v>92</v>
      </c>
      <c r="DU62" s="54">
        <f t="shared" si="102"/>
        <v>54.89172700423029</v>
      </c>
      <c r="DV62" s="55">
        <f t="shared" si="103"/>
        <v>54</v>
      </c>
      <c r="DW62" s="4"/>
    </row>
    <row r="63" spans="1:127" ht="135">
      <c r="A63" s="35">
        <v>42</v>
      </c>
      <c r="B63" s="35">
        <v>44</v>
      </c>
      <c r="C63" s="36" t="s">
        <v>164</v>
      </c>
      <c r="D63" s="36" t="s">
        <v>207</v>
      </c>
      <c r="E63" s="37"/>
      <c r="F63" s="38">
        <f t="shared" si="62"/>
        <v>0</v>
      </c>
      <c r="G63" s="9">
        <v>0</v>
      </c>
      <c r="H63" s="9">
        <v>0</v>
      </c>
      <c r="I63" s="37"/>
      <c r="J63" s="39">
        <f t="shared" si="63"/>
        <v>0</v>
      </c>
      <c r="K63" s="11">
        <v>0</v>
      </c>
      <c r="L63" s="11">
        <v>0</v>
      </c>
      <c r="M63" s="37"/>
      <c r="N63" s="39">
        <f t="shared" si="57"/>
        <v>0</v>
      </c>
      <c r="O63" s="10">
        <v>0</v>
      </c>
      <c r="P63" s="11">
        <v>0</v>
      </c>
      <c r="Q63" s="37"/>
      <c r="R63" s="39">
        <f t="shared" si="64"/>
        <v>0</v>
      </c>
      <c r="S63" s="40">
        <f t="shared" si="65"/>
        <v>0</v>
      </c>
      <c r="T63" s="41">
        <v>0</v>
      </c>
      <c r="U63" s="37">
        <f t="shared" si="106"/>
        <v>3</v>
      </c>
      <c r="V63" s="39">
        <f t="shared" si="66"/>
        <v>-4.2297012057758897E-2</v>
      </c>
      <c r="W63" s="40">
        <v>0</v>
      </c>
      <c r="X63" s="8">
        <v>0</v>
      </c>
      <c r="Y63" s="8">
        <v>2258715.4300000002</v>
      </c>
      <c r="Z63" s="8">
        <v>2258715.4300000002</v>
      </c>
      <c r="AA63" s="40">
        <v>0</v>
      </c>
      <c r="AB63" s="40">
        <v>106802600</v>
      </c>
      <c r="AC63" s="37">
        <f t="shared" si="67"/>
        <v>3</v>
      </c>
      <c r="AD63" s="38">
        <f t="shared" si="68"/>
        <v>0</v>
      </c>
      <c r="AE63" s="9">
        <v>0</v>
      </c>
      <c r="AF63" s="9">
        <v>475881.95999999996</v>
      </c>
      <c r="AG63" s="37">
        <f t="shared" si="69"/>
        <v>0</v>
      </c>
      <c r="AH63" s="42">
        <f t="shared" si="70"/>
        <v>1</v>
      </c>
      <c r="AI63" s="43">
        <v>11</v>
      </c>
      <c r="AJ63" s="43">
        <v>14</v>
      </c>
      <c r="AK63" s="44"/>
      <c r="AL63" s="43"/>
      <c r="AM63" s="44"/>
      <c r="AN63" s="44"/>
      <c r="AO63" s="37">
        <f t="shared" si="71"/>
        <v>3</v>
      </c>
      <c r="AP63" s="39">
        <f t="shared" si="72"/>
        <v>0</v>
      </c>
      <c r="AQ63" s="9"/>
      <c r="AR63" s="9">
        <v>112176734</v>
      </c>
      <c r="AS63" s="37">
        <f t="shared" si="73"/>
        <v>0</v>
      </c>
      <c r="AT63" s="39">
        <f t="shared" si="74"/>
        <v>0</v>
      </c>
      <c r="AU63" s="45">
        <f t="shared" si="75"/>
        <v>0</v>
      </c>
      <c r="AV63" s="46">
        <f t="shared" si="76"/>
        <v>106802600</v>
      </c>
      <c r="AW63" s="37">
        <f t="shared" si="107"/>
        <v>0</v>
      </c>
      <c r="AX63" s="39"/>
      <c r="AY63" s="47">
        <v>0</v>
      </c>
      <c r="AZ63" s="44">
        <v>31852.01</v>
      </c>
      <c r="BA63" s="44">
        <v>2</v>
      </c>
      <c r="BB63" s="44" t="s">
        <v>192</v>
      </c>
      <c r="BC63" s="37">
        <v>0</v>
      </c>
      <c r="BD63" s="37">
        <f t="shared" si="77"/>
        <v>1</v>
      </c>
      <c r="BE63" s="39">
        <f t="shared" si="78"/>
        <v>0</v>
      </c>
      <c r="BF63" s="37">
        <v>0</v>
      </c>
      <c r="BG63" s="44">
        <v>0</v>
      </c>
      <c r="BH63" s="37">
        <f t="shared" si="79"/>
        <v>1</v>
      </c>
      <c r="BI63" s="37">
        <v>0</v>
      </c>
      <c r="BJ63" s="44">
        <v>5574637.5199999996</v>
      </c>
      <c r="BK63" s="37">
        <f t="shared" si="80"/>
        <v>4</v>
      </c>
      <c r="BL63" s="38">
        <f t="shared" si="81"/>
        <v>0</v>
      </c>
      <c r="BM63" s="37">
        <v>0</v>
      </c>
      <c r="BN63" s="44">
        <v>18509.62</v>
      </c>
      <c r="BO63" s="37">
        <v>0</v>
      </c>
      <c r="BP63" s="44">
        <v>10839.51</v>
      </c>
      <c r="BQ63" s="37">
        <f t="shared" si="105"/>
        <v>2</v>
      </c>
      <c r="BR63" s="39">
        <f t="shared" si="82"/>
        <v>1.0197017528848376</v>
      </c>
      <c r="BS63" s="44">
        <v>41043452.380000003</v>
      </c>
      <c r="BT63" s="44">
        <v>54.7</v>
      </c>
      <c r="BU63" s="44">
        <v>12</v>
      </c>
      <c r="BV63" s="44">
        <v>61320</v>
      </c>
      <c r="BW63" s="37">
        <f t="shared" si="104"/>
        <v>0</v>
      </c>
      <c r="BX63" s="39">
        <f t="shared" si="83"/>
        <v>0.82806912968410884</v>
      </c>
      <c r="BY63" s="44">
        <v>88439936.030000001</v>
      </c>
      <c r="BZ63" s="47">
        <v>106802600</v>
      </c>
      <c r="CA63" s="48">
        <f t="shared" si="84"/>
        <v>2</v>
      </c>
      <c r="CB63" s="49">
        <f t="shared" si="85"/>
        <v>2</v>
      </c>
      <c r="CC63" s="44">
        <v>2</v>
      </c>
      <c r="CD63" s="44">
        <v>2</v>
      </c>
      <c r="CE63" s="44">
        <v>2</v>
      </c>
      <c r="CF63" s="37">
        <f t="shared" si="86"/>
        <v>3</v>
      </c>
      <c r="CG63" s="39">
        <f t="shared" si="87"/>
        <v>1</v>
      </c>
      <c r="CH63" s="44">
        <v>1</v>
      </c>
      <c r="CI63" s="44">
        <v>1</v>
      </c>
      <c r="CJ63" s="48">
        <f t="shared" si="88"/>
        <v>0</v>
      </c>
      <c r="CK63" s="44">
        <v>1</v>
      </c>
      <c r="CL63" s="37">
        <f t="shared" si="89"/>
        <v>0</v>
      </c>
      <c r="CM63" s="44">
        <v>86</v>
      </c>
      <c r="CN63" s="50">
        <v>88</v>
      </c>
      <c r="CO63" s="48">
        <f t="shared" si="90"/>
        <v>3</v>
      </c>
      <c r="CP63" s="44"/>
      <c r="CQ63" s="48">
        <f t="shared" si="91"/>
        <v>3</v>
      </c>
      <c r="CR63" s="44"/>
      <c r="CS63" s="37"/>
      <c r="CT63" s="44"/>
      <c r="CU63" s="44"/>
      <c r="CV63" s="37">
        <f t="shared" si="92"/>
        <v>5</v>
      </c>
      <c r="CW63" s="44">
        <v>6</v>
      </c>
      <c r="CX63" s="44">
        <v>6</v>
      </c>
      <c r="CY63" s="51">
        <f t="shared" si="93"/>
        <v>0</v>
      </c>
      <c r="CZ63" s="44">
        <v>21.72</v>
      </c>
      <c r="DA63" s="44">
        <v>31.57</v>
      </c>
      <c r="DB63" s="37">
        <f t="shared" si="94"/>
        <v>4</v>
      </c>
      <c r="DC63" s="39">
        <f t="shared" si="95"/>
        <v>1</v>
      </c>
      <c r="DD63" s="44">
        <v>112176734</v>
      </c>
      <c r="DE63" s="44">
        <v>112176734</v>
      </c>
      <c r="DF63" s="37">
        <f t="shared" si="96"/>
        <v>3</v>
      </c>
      <c r="DG63" s="39">
        <f t="shared" si="97"/>
        <v>0</v>
      </c>
      <c r="DH63" s="46">
        <v>0</v>
      </c>
      <c r="DI63" s="11">
        <v>112176734</v>
      </c>
      <c r="DJ63" s="37">
        <f t="shared" si="60"/>
        <v>3</v>
      </c>
      <c r="DK63" s="44"/>
      <c r="DL63" s="44"/>
      <c r="DM63" s="37">
        <f t="shared" si="98"/>
        <v>5</v>
      </c>
      <c r="DN63" s="52">
        <f t="shared" si="99"/>
        <v>1</v>
      </c>
      <c r="DO63" s="53">
        <v>21</v>
      </c>
      <c r="DP63" s="53">
        <v>21</v>
      </c>
      <c r="DQ63" s="37">
        <f t="shared" si="100"/>
        <v>4</v>
      </c>
      <c r="DR63" s="39">
        <f t="shared" si="101"/>
        <v>1</v>
      </c>
      <c r="DS63" s="53">
        <v>109</v>
      </c>
      <c r="DT63" s="53">
        <v>109</v>
      </c>
      <c r="DU63" s="54">
        <f t="shared" si="102"/>
        <v>54</v>
      </c>
      <c r="DV63" s="55">
        <f t="shared" si="103"/>
        <v>55</v>
      </c>
      <c r="DW63" s="4"/>
    </row>
    <row r="64" spans="1:127" ht="150">
      <c r="A64" s="35">
        <v>30</v>
      </c>
      <c r="B64" s="35">
        <v>59</v>
      </c>
      <c r="C64" s="56" t="s">
        <v>164</v>
      </c>
      <c r="D64" s="56" t="s">
        <v>195</v>
      </c>
      <c r="E64" s="37">
        <f>IF(F64&gt;1,0,IF(G64/H64&lt;$H$7/100,0,IF(G64/H64&gt;$G$7/100,3,$E$7*(G64/H64-$H$7/100)/(($G$7-$H$7)/100))))</f>
        <v>0</v>
      </c>
      <c r="F64" s="38">
        <f t="shared" si="62"/>
        <v>0.5</v>
      </c>
      <c r="G64" s="57">
        <v>2.2400000000000002</v>
      </c>
      <c r="H64" s="57">
        <v>4.4800000000000004</v>
      </c>
      <c r="I64" s="37">
        <f>IF(K64/L64&lt;$L$7/100,0,IF(K64/L64&gt;$K$7/100,3,$I$7*(K64/L64-$L$7/100)/(($K$7-$L$7)/100)))</f>
        <v>0</v>
      </c>
      <c r="J64" s="39">
        <f t="shared" si="63"/>
        <v>0</v>
      </c>
      <c r="K64" s="46">
        <v>0</v>
      </c>
      <c r="L64" s="46">
        <v>31856.49</v>
      </c>
      <c r="M64" s="37"/>
      <c r="N64" s="39">
        <f t="shared" si="57"/>
        <v>0</v>
      </c>
      <c r="O64" s="45">
        <v>2.2400000000000002</v>
      </c>
      <c r="P64" s="46">
        <v>0</v>
      </c>
      <c r="Q64" s="37">
        <f>IF(S64/T64&lt;$T$7/100,0,IF(S64/T64&gt;$S$7/100,3,$Q$7*(S64/T64-$T$7/100)/(($S$7-$T$7)/100)))</f>
        <v>0</v>
      </c>
      <c r="R64" s="39">
        <f t="shared" si="64"/>
        <v>0</v>
      </c>
      <c r="S64" s="40">
        <f t="shared" si="65"/>
        <v>0</v>
      </c>
      <c r="T64" s="41">
        <v>31856.49</v>
      </c>
      <c r="U64" s="37">
        <f t="shared" si="106"/>
        <v>3</v>
      </c>
      <c r="V64" s="39">
        <f t="shared" si="66"/>
        <v>-0.18996312433824394</v>
      </c>
      <c r="W64" s="40">
        <v>0</v>
      </c>
      <c r="X64" s="8">
        <v>0</v>
      </c>
      <c r="Y64" s="8">
        <v>11456067.029999999</v>
      </c>
      <c r="Z64" s="8">
        <v>5982775.7400000002</v>
      </c>
      <c r="AA64" s="40">
        <v>0</v>
      </c>
      <c r="AB64" s="40">
        <v>91801200</v>
      </c>
      <c r="AC64" s="37">
        <f t="shared" si="67"/>
        <v>0</v>
      </c>
      <c r="AD64" s="38">
        <f t="shared" si="68"/>
        <v>9.16513403285623E-2</v>
      </c>
      <c r="AE64" s="57">
        <v>400000</v>
      </c>
      <c r="AF64" s="57">
        <v>4364366.07</v>
      </c>
      <c r="AG64" s="37">
        <f t="shared" si="69"/>
        <v>1</v>
      </c>
      <c r="AH64" s="42">
        <f t="shared" si="70"/>
        <v>4</v>
      </c>
      <c r="AI64" s="42">
        <v>16</v>
      </c>
      <c r="AJ64" s="42">
        <v>16</v>
      </c>
      <c r="AK64" s="37"/>
      <c r="AL64" s="42"/>
      <c r="AM64" s="68"/>
      <c r="AN64" s="37"/>
      <c r="AO64" s="37">
        <f t="shared" si="71"/>
        <v>2.9881650622320972</v>
      </c>
      <c r="AP64" s="39">
        <f t="shared" si="72"/>
        <v>3.9449792559676415E-3</v>
      </c>
      <c r="AQ64" s="57">
        <v>400000</v>
      </c>
      <c r="AR64" s="57">
        <v>101394703</v>
      </c>
      <c r="AS64" s="37">
        <f t="shared" si="73"/>
        <v>0</v>
      </c>
      <c r="AT64" s="39">
        <f t="shared" si="74"/>
        <v>2.440055190283748E-8</v>
      </c>
      <c r="AU64" s="45">
        <f t="shared" si="75"/>
        <v>2.2400000000000002</v>
      </c>
      <c r="AV64" s="46">
        <f t="shared" si="76"/>
        <v>91801200</v>
      </c>
      <c r="AW64" s="37">
        <f t="shared" si="107"/>
        <v>0</v>
      </c>
      <c r="AX64" s="39">
        <f>AY64/AZ64-1</f>
        <v>-0.99992967476777761</v>
      </c>
      <c r="AY64" s="66">
        <v>2.2400000000000002</v>
      </c>
      <c r="AZ64" s="68">
        <v>31852.01</v>
      </c>
      <c r="BA64" s="37">
        <v>2</v>
      </c>
      <c r="BB64" s="37">
        <v>2.2400000000000002</v>
      </c>
      <c r="BC64" s="37">
        <v>0</v>
      </c>
      <c r="BD64" s="37">
        <f t="shared" si="77"/>
        <v>1</v>
      </c>
      <c r="BE64" s="39">
        <f t="shared" si="78"/>
        <v>0</v>
      </c>
      <c r="BF64" s="37">
        <v>0</v>
      </c>
      <c r="BG64" s="68">
        <v>109440.24</v>
      </c>
      <c r="BH64" s="37">
        <f t="shared" si="79"/>
        <v>1</v>
      </c>
      <c r="BI64" s="37">
        <v>0</v>
      </c>
      <c r="BJ64" s="37">
        <v>7282861</v>
      </c>
      <c r="BK64" s="37">
        <f t="shared" si="80"/>
        <v>4</v>
      </c>
      <c r="BL64" s="38">
        <f t="shared" si="81"/>
        <v>0</v>
      </c>
      <c r="BM64" s="37">
        <v>0</v>
      </c>
      <c r="BN64" s="68">
        <v>19312.36</v>
      </c>
      <c r="BO64" s="68">
        <v>80</v>
      </c>
      <c r="BP64" s="68">
        <v>4338.3900000000003</v>
      </c>
      <c r="BQ64" s="37">
        <f t="shared" si="105"/>
        <v>0</v>
      </c>
      <c r="BR64" s="39">
        <f t="shared" si="82"/>
        <v>1.2287028321144847E-3</v>
      </c>
      <c r="BS64" s="37">
        <v>42855.7</v>
      </c>
      <c r="BT64" s="37">
        <v>47.4</v>
      </c>
      <c r="BU64" s="37">
        <v>12</v>
      </c>
      <c r="BV64" s="37">
        <v>61320</v>
      </c>
      <c r="BW64" s="37">
        <f t="shared" si="104"/>
        <v>0</v>
      </c>
      <c r="BX64" s="39">
        <f t="shared" si="83"/>
        <v>0.90117146498494483</v>
      </c>
      <c r="BY64" s="37">
        <v>82728623.909999996</v>
      </c>
      <c r="BZ64" s="66">
        <v>91801202.239999995</v>
      </c>
      <c r="CA64" s="48">
        <f t="shared" si="84"/>
        <v>2</v>
      </c>
      <c r="CB64" s="49">
        <f t="shared" si="85"/>
        <v>2</v>
      </c>
      <c r="CC64" s="68">
        <v>2</v>
      </c>
      <c r="CD64" s="37">
        <v>2</v>
      </c>
      <c r="CE64" s="37">
        <v>2</v>
      </c>
      <c r="CF64" s="37">
        <f t="shared" si="86"/>
        <v>3</v>
      </c>
      <c r="CG64" s="39">
        <f t="shared" si="87"/>
        <v>1</v>
      </c>
      <c r="CH64" s="37">
        <v>1</v>
      </c>
      <c r="CI64" s="37">
        <v>1</v>
      </c>
      <c r="CJ64" s="48">
        <f t="shared" si="88"/>
        <v>0</v>
      </c>
      <c r="CK64" s="68">
        <v>1</v>
      </c>
      <c r="CL64" s="37">
        <f t="shared" si="89"/>
        <v>0</v>
      </c>
      <c r="CM64" s="37">
        <v>73</v>
      </c>
      <c r="CN64" s="50">
        <v>88</v>
      </c>
      <c r="CO64" s="48">
        <f t="shared" si="90"/>
        <v>3</v>
      </c>
      <c r="CP64" s="37"/>
      <c r="CQ64" s="48">
        <f t="shared" si="91"/>
        <v>3</v>
      </c>
      <c r="CR64" s="68">
        <v>0</v>
      </c>
      <c r="CS64" s="37"/>
      <c r="CT64" s="37"/>
      <c r="CU64" s="37"/>
      <c r="CV64" s="37">
        <f t="shared" si="92"/>
        <v>5</v>
      </c>
      <c r="CW64" s="37">
        <v>6</v>
      </c>
      <c r="CX64" s="37">
        <v>6</v>
      </c>
      <c r="CY64" s="51">
        <f t="shared" si="93"/>
        <v>4</v>
      </c>
      <c r="CZ64" s="37"/>
      <c r="DA64" s="37">
        <v>16.899999999999999</v>
      </c>
      <c r="DB64" s="37">
        <f t="shared" si="94"/>
        <v>4</v>
      </c>
      <c r="DC64" s="39">
        <f t="shared" si="95"/>
        <v>1</v>
      </c>
      <c r="DD64" s="37">
        <v>100994703</v>
      </c>
      <c r="DE64" s="37">
        <v>100994703</v>
      </c>
      <c r="DF64" s="37">
        <f t="shared" si="96"/>
        <v>3</v>
      </c>
      <c r="DG64" s="39">
        <f t="shared" si="97"/>
        <v>0</v>
      </c>
      <c r="DH64" s="46">
        <v>0</v>
      </c>
      <c r="DI64" s="46">
        <v>100994703</v>
      </c>
      <c r="DJ64" s="37">
        <f t="shared" si="60"/>
        <v>3</v>
      </c>
      <c r="DK64" s="37"/>
      <c r="DL64" s="37"/>
      <c r="DM64" s="37">
        <f t="shared" si="98"/>
        <v>5</v>
      </c>
      <c r="DN64" s="52">
        <f t="shared" si="99"/>
        <v>1</v>
      </c>
      <c r="DO64" s="58">
        <v>30</v>
      </c>
      <c r="DP64" s="58">
        <v>30</v>
      </c>
      <c r="DQ64" s="37">
        <f t="shared" si="100"/>
        <v>4</v>
      </c>
      <c r="DR64" s="39">
        <f t="shared" si="101"/>
        <v>1</v>
      </c>
      <c r="DS64" s="58">
        <v>73</v>
      </c>
      <c r="DT64" s="58">
        <v>73</v>
      </c>
      <c r="DU64" s="54">
        <f t="shared" si="102"/>
        <v>53.988165062232099</v>
      </c>
      <c r="DV64" s="55">
        <f t="shared" si="103"/>
        <v>56</v>
      </c>
      <c r="DW64" s="4"/>
    </row>
    <row r="65" spans="1:127" ht="135">
      <c r="A65" s="35">
        <v>6</v>
      </c>
      <c r="B65" s="35">
        <v>30</v>
      </c>
      <c r="C65" s="56" t="s">
        <v>164</v>
      </c>
      <c r="D65" s="56" t="s">
        <v>169</v>
      </c>
      <c r="E65" s="37">
        <f>IF(F65&gt;1,0,IF(G65/H65&lt;$H$7/100,0,IF(G65/H65&gt;$G$7/100,3,$E$7*(G65/H65-$H$7/100)/(($G$7-$H$7)/100))))</f>
        <v>2.6003534482758606</v>
      </c>
      <c r="F65" s="38">
        <f t="shared" si="62"/>
        <v>0.96934275862068964</v>
      </c>
      <c r="G65" s="57">
        <v>4216641</v>
      </c>
      <c r="H65" s="57">
        <v>4350000</v>
      </c>
      <c r="I65" s="37">
        <f>IF(K65/L65&lt;$L$7/100,0,IF(K65/L65&gt;$K$7/100,3,$I$7*(K65/L65-$L$7/100)/(($K$7-$L$7)/100)))</f>
        <v>0</v>
      </c>
      <c r="J65" s="39">
        <f t="shared" si="63"/>
        <v>0.51055922176891144</v>
      </c>
      <c r="K65" s="46">
        <v>2603609.98</v>
      </c>
      <c r="L65" s="46">
        <v>5099525.91</v>
      </c>
      <c r="M65" s="37">
        <f>IF(O65/P65&lt;$P$7/100,0,IF(O65/P65&gt;$O$7/100,3,$M$7*(O65/P65-$P$7/100)/(($O$7-$P$7)/100)))</f>
        <v>3</v>
      </c>
      <c r="N65" s="39">
        <f t="shared" si="57"/>
        <v>1.1363062093352192</v>
      </c>
      <c r="O65" s="45">
        <v>4016842.45</v>
      </c>
      <c r="P65" s="46">
        <v>3535000</v>
      </c>
      <c r="Q65" s="37">
        <f>IF(S65/T65&lt;$T$7/100,0,IF(S65/T65&gt;$S$7/100,3,$Q$7*(S65/T65-$T$7/100)/(($S$7-$T$7)/100)))</f>
        <v>0</v>
      </c>
      <c r="R65" s="39">
        <f t="shared" si="64"/>
        <v>0.51055922176891144</v>
      </c>
      <c r="S65" s="40">
        <f t="shared" si="65"/>
        <v>2603609.98</v>
      </c>
      <c r="T65" s="41">
        <v>5099525.91</v>
      </c>
      <c r="U65" s="37">
        <f t="shared" si="106"/>
        <v>3</v>
      </c>
      <c r="V65" s="39">
        <f t="shared" si="66"/>
        <v>-2.3156427795587041E-2</v>
      </c>
      <c r="W65" s="65">
        <v>287503.01</v>
      </c>
      <c r="X65" s="8">
        <v>0</v>
      </c>
      <c r="Y65" s="8">
        <v>1107378.46</v>
      </c>
      <c r="Z65" s="8">
        <v>1107378.46</v>
      </c>
      <c r="AA65" s="40">
        <v>0</v>
      </c>
      <c r="AB65" s="40">
        <v>83227600</v>
      </c>
      <c r="AC65" s="37">
        <f t="shared" si="67"/>
        <v>0</v>
      </c>
      <c r="AD65" s="38">
        <f t="shared" si="68"/>
        <v>0.20664836123984723</v>
      </c>
      <c r="AE65" s="57">
        <v>4200000</v>
      </c>
      <c r="AF65" s="57">
        <v>20324380.869999997</v>
      </c>
      <c r="AG65" s="37">
        <f t="shared" si="69"/>
        <v>0</v>
      </c>
      <c r="AH65" s="42">
        <f t="shared" si="70"/>
        <v>9</v>
      </c>
      <c r="AI65" s="42">
        <v>24</v>
      </c>
      <c r="AJ65" s="42">
        <v>19</v>
      </c>
      <c r="AK65" s="37"/>
      <c r="AL65" s="42"/>
      <c r="AM65" s="37"/>
      <c r="AN65" s="37"/>
      <c r="AO65" s="37">
        <f t="shared" si="71"/>
        <v>2.8980596828659211</v>
      </c>
      <c r="AP65" s="39">
        <f t="shared" si="72"/>
        <v>3.3980105711359683E-2</v>
      </c>
      <c r="AQ65" s="57">
        <v>4200000</v>
      </c>
      <c r="AR65" s="57">
        <v>123601734.37</v>
      </c>
      <c r="AS65" s="37">
        <f t="shared" si="73"/>
        <v>0</v>
      </c>
      <c r="AT65" s="39">
        <f t="shared" si="74"/>
        <v>4.604124156449349E-2</v>
      </c>
      <c r="AU65" s="45">
        <f t="shared" si="75"/>
        <v>4016842.45</v>
      </c>
      <c r="AV65" s="46">
        <f t="shared" si="76"/>
        <v>83227600</v>
      </c>
      <c r="AW65" s="37">
        <f t="shared" si="107"/>
        <v>0</v>
      </c>
      <c r="AX65" s="39">
        <f>AY65/AZ65-1</f>
        <v>-7.3801842657847949E-2</v>
      </c>
      <c r="AY65" s="45">
        <f>AU65</f>
        <v>4016842.45</v>
      </c>
      <c r="AZ65" s="46">
        <v>4336914.75</v>
      </c>
      <c r="BA65" s="37">
        <v>2</v>
      </c>
      <c r="BB65" s="46">
        <f>AY65</f>
        <v>4016842.45</v>
      </c>
      <c r="BC65" s="46">
        <v>0</v>
      </c>
      <c r="BD65" s="37">
        <f t="shared" si="77"/>
        <v>1</v>
      </c>
      <c r="BE65" s="39">
        <f t="shared" si="78"/>
        <v>0</v>
      </c>
      <c r="BF65" s="37">
        <v>0</v>
      </c>
      <c r="BG65" s="46">
        <v>307620.3</v>
      </c>
      <c r="BH65" s="37">
        <f t="shared" si="79"/>
        <v>1</v>
      </c>
      <c r="BI65" s="37">
        <v>0</v>
      </c>
      <c r="BJ65" s="46">
        <v>1169962.79</v>
      </c>
      <c r="BK65" s="37">
        <f t="shared" si="80"/>
        <v>4</v>
      </c>
      <c r="BL65" s="38">
        <f t="shared" si="81"/>
        <v>0</v>
      </c>
      <c r="BM65" s="46">
        <v>0</v>
      </c>
      <c r="BN65" s="46">
        <v>68693.66</v>
      </c>
      <c r="BO65" s="46">
        <v>0</v>
      </c>
      <c r="BP65" s="46">
        <v>13346.81</v>
      </c>
      <c r="BQ65" s="37">
        <f t="shared" si="105"/>
        <v>0</v>
      </c>
      <c r="BR65" s="39">
        <f t="shared" si="82"/>
        <v>1.0622200835346216</v>
      </c>
      <c r="BS65" s="37">
        <v>20264100</v>
      </c>
      <c r="BT65" s="37">
        <v>25.6</v>
      </c>
      <c r="BU65" s="37">
        <v>12</v>
      </c>
      <c r="BV65" s="63">
        <v>62100</v>
      </c>
      <c r="BW65" s="37">
        <f t="shared" si="104"/>
        <v>0</v>
      </c>
      <c r="BX65" s="39">
        <f t="shared" si="83"/>
        <v>0.69568537886850812</v>
      </c>
      <c r="BY65" s="46">
        <f>46616.5*1000*1.302</f>
        <v>60694683</v>
      </c>
      <c r="BZ65" s="45">
        <v>87244442.450000003</v>
      </c>
      <c r="CA65" s="48">
        <f t="shared" si="84"/>
        <v>2</v>
      </c>
      <c r="CB65" s="49">
        <f t="shared" si="85"/>
        <v>2</v>
      </c>
      <c r="CC65" s="37">
        <v>4</v>
      </c>
      <c r="CD65" s="37">
        <v>4</v>
      </c>
      <c r="CE65" s="37">
        <v>4</v>
      </c>
      <c r="CF65" s="37">
        <f t="shared" si="86"/>
        <v>3</v>
      </c>
      <c r="CG65" s="39">
        <f t="shared" si="87"/>
        <v>1</v>
      </c>
      <c r="CH65" s="37">
        <v>2</v>
      </c>
      <c r="CI65" s="37">
        <v>2</v>
      </c>
      <c r="CJ65" s="48">
        <f t="shared" si="88"/>
        <v>0</v>
      </c>
      <c r="CK65" s="37">
        <v>1</v>
      </c>
      <c r="CL65" s="37">
        <f t="shared" si="89"/>
        <v>0</v>
      </c>
      <c r="CM65" s="50">
        <v>77</v>
      </c>
      <c r="CN65" s="50">
        <v>88</v>
      </c>
      <c r="CO65" s="48">
        <f t="shared" si="90"/>
        <v>3</v>
      </c>
      <c r="CP65" s="37"/>
      <c r="CQ65" s="48">
        <f t="shared" si="91"/>
        <v>3</v>
      </c>
      <c r="CR65" s="37"/>
      <c r="CS65" s="37"/>
      <c r="CT65" s="37"/>
      <c r="CU65" s="37"/>
      <c r="CV65" s="37">
        <f t="shared" si="92"/>
        <v>0</v>
      </c>
      <c r="CW65" s="37">
        <v>10</v>
      </c>
      <c r="CX65" s="37">
        <v>6</v>
      </c>
      <c r="CY65" s="51">
        <f t="shared" si="93"/>
        <v>4</v>
      </c>
      <c r="CZ65" s="37"/>
      <c r="DA65" s="37">
        <v>71.47</v>
      </c>
      <c r="DB65" s="37">
        <f t="shared" si="94"/>
        <v>4</v>
      </c>
      <c r="DC65" s="39">
        <f t="shared" si="95"/>
        <v>1</v>
      </c>
      <c r="DD65" s="46">
        <v>121717841.34</v>
      </c>
      <c r="DE65" s="46">
        <v>121717841.34</v>
      </c>
      <c r="DF65" s="37">
        <f t="shared" si="96"/>
        <v>3</v>
      </c>
      <c r="DG65" s="39">
        <f t="shared" si="97"/>
        <v>0</v>
      </c>
      <c r="DH65" s="46">
        <v>0</v>
      </c>
      <c r="DI65" s="46">
        <v>119114231.36</v>
      </c>
      <c r="DJ65" s="37">
        <f t="shared" si="60"/>
        <v>3</v>
      </c>
      <c r="DK65" s="37"/>
      <c r="DL65" s="37"/>
      <c r="DM65" s="37">
        <f t="shared" si="98"/>
        <v>5</v>
      </c>
      <c r="DN65" s="52">
        <f t="shared" si="99"/>
        <v>1</v>
      </c>
      <c r="DO65" s="64">
        <v>10</v>
      </c>
      <c r="DP65" s="64">
        <v>10</v>
      </c>
      <c r="DQ65" s="37">
        <f t="shared" si="100"/>
        <v>4</v>
      </c>
      <c r="DR65" s="39">
        <f t="shared" si="101"/>
        <v>1</v>
      </c>
      <c r="DS65" s="64">
        <v>62</v>
      </c>
      <c r="DT65" s="64">
        <v>62</v>
      </c>
      <c r="DU65" s="54">
        <f t="shared" si="102"/>
        <v>53.498413131141781</v>
      </c>
      <c r="DV65" s="55">
        <f t="shared" si="103"/>
        <v>57</v>
      </c>
      <c r="DW65" s="4"/>
    </row>
    <row r="66" spans="1:127" ht="150">
      <c r="A66" s="35">
        <v>27</v>
      </c>
      <c r="B66" s="35">
        <v>38</v>
      </c>
      <c r="C66" s="56" t="s">
        <v>164</v>
      </c>
      <c r="D66" s="56" t="s">
        <v>191</v>
      </c>
      <c r="E66" s="37"/>
      <c r="F66" s="38">
        <f t="shared" si="62"/>
        <v>0</v>
      </c>
      <c r="G66" s="57">
        <v>0</v>
      </c>
      <c r="H66" s="57">
        <v>0</v>
      </c>
      <c r="I66" s="37"/>
      <c r="J66" s="39">
        <f t="shared" si="63"/>
        <v>0</v>
      </c>
      <c r="K66" s="46">
        <v>0</v>
      </c>
      <c r="L66" s="46">
        <v>0</v>
      </c>
      <c r="M66" s="37"/>
      <c r="N66" s="39">
        <f t="shared" si="57"/>
        <v>0</v>
      </c>
      <c r="O66" s="45">
        <v>0</v>
      </c>
      <c r="P66" s="46">
        <v>0</v>
      </c>
      <c r="Q66" s="37"/>
      <c r="R66" s="39">
        <f t="shared" si="64"/>
        <v>0</v>
      </c>
      <c r="S66" s="40">
        <f t="shared" si="65"/>
        <v>0</v>
      </c>
      <c r="T66" s="41">
        <v>0</v>
      </c>
      <c r="U66" s="37">
        <f t="shared" si="106"/>
        <v>3</v>
      </c>
      <c r="V66" s="39">
        <f t="shared" si="66"/>
        <v>-0.3475722638619918</v>
      </c>
      <c r="W66" s="40">
        <v>808236.86</v>
      </c>
      <c r="X66" s="8">
        <v>449415.98</v>
      </c>
      <c r="Y66" s="8">
        <v>13047891.18</v>
      </c>
      <c r="Z66" s="8">
        <v>13047891.18</v>
      </c>
      <c r="AA66" s="40">
        <v>0</v>
      </c>
      <c r="AB66" s="40">
        <v>74047800</v>
      </c>
      <c r="AC66" s="37">
        <f t="shared" si="67"/>
        <v>0</v>
      </c>
      <c r="AD66" s="38">
        <f t="shared" si="68"/>
        <v>0.15217677001613103</v>
      </c>
      <c r="AE66" s="57">
        <v>154711.79</v>
      </c>
      <c r="AF66" s="57">
        <v>1016658.3899999997</v>
      </c>
      <c r="AG66" s="37">
        <f t="shared" si="69"/>
        <v>0</v>
      </c>
      <c r="AH66" s="42">
        <f t="shared" si="70"/>
        <v>0</v>
      </c>
      <c r="AI66" s="42">
        <v>7</v>
      </c>
      <c r="AJ66" s="42">
        <v>11</v>
      </c>
      <c r="AK66" s="37"/>
      <c r="AL66" s="42"/>
      <c r="AM66" s="68"/>
      <c r="AN66" s="37"/>
      <c r="AO66" s="37">
        <f t="shared" si="71"/>
        <v>2.9942775299880431</v>
      </c>
      <c r="AP66" s="39">
        <f t="shared" si="72"/>
        <v>1.9074900039855527E-3</v>
      </c>
      <c r="AQ66" s="57">
        <v>154711.79</v>
      </c>
      <c r="AR66" s="57">
        <v>81107523.329999998</v>
      </c>
      <c r="AS66" s="37">
        <f t="shared" si="73"/>
        <v>0</v>
      </c>
      <c r="AT66" s="39">
        <f t="shared" si="74"/>
        <v>0</v>
      </c>
      <c r="AU66" s="45">
        <f t="shared" si="75"/>
        <v>0</v>
      </c>
      <c r="AV66" s="46">
        <f t="shared" si="76"/>
        <v>74047800</v>
      </c>
      <c r="AW66" s="37">
        <f t="shared" si="107"/>
        <v>0</v>
      </c>
      <c r="AX66" s="39"/>
      <c r="AY66" s="66">
        <v>0</v>
      </c>
      <c r="AZ66" s="68">
        <v>0</v>
      </c>
      <c r="BA66" s="37">
        <v>2</v>
      </c>
      <c r="BB66" s="37" t="s">
        <v>192</v>
      </c>
      <c r="BC66" s="37">
        <v>0</v>
      </c>
      <c r="BD66" s="37">
        <f t="shared" si="77"/>
        <v>1</v>
      </c>
      <c r="BE66" s="39">
        <f t="shared" si="78"/>
        <v>0</v>
      </c>
      <c r="BF66" s="37">
        <v>0</v>
      </c>
      <c r="BG66" s="68">
        <v>2393724.35</v>
      </c>
      <c r="BH66" s="37">
        <f t="shared" si="79"/>
        <v>1</v>
      </c>
      <c r="BI66" s="37">
        <v>0</v>
      </c>
      <c r="BJ66" s="37">
        <v>7737703.3099999996</v>
      </c>
      <c r="BK66" s="37">
        <f t="shared" si="80"/>
        <v>4</v>
      </c>
      <c r="BL66" s="38">
        <f t="shared" si="81"/>
        <v>0</v>
      </c>
      <c r="BM66" s="37">
        <v>0</v>
      </c>
      <c r="BN66" s="68">
        <v>11562.76</v>
      </c>
      <c r="BO66" s="37">
        <v>0</v>
      </c>
      <c r="BP66" s="68">
        <v>1377.06</v>
      </c>
      <c r="BQ66" s="37">
        <f t="shared" si="105"/>
        <v>0</v>
      </c>
      <c r="BR66" s="39">
        <f t="shared" si="82"/>
        <v>1.2598302640061365</v>
      </c>
      <c r="BS66" s="37">
        <v>31611842.399999999</v>
      </c>
      <c r="BT66" s="37">
        <v>34.1</v>
      </c>
      <c r="BU66" s="37">
        <v>12</v>
      </c>
      <c r="BV66" s="37">
        <v>61320</v>
      </c>
      <c r="BW66" s="37">
        <f t="shared" si="104"/>
        <v>0</v>
      </c>
      <c r="BX66" s="39">
        <f t="shared" si="83"/>
        <v>0.81124824410718477</v>
      </c>
      <c r="BY66" s="37">
        <v>60071147.729999997</v>
      </c>
      <c r="BZ66" s="66">
        <v>74047800</v>
      </c>
      <c r="CA66" s="48">
        <f t="shared" si="84"/>
        <v>2</v>
      </c>
      <c r="CB66" s="49">
        <f t="shared" si="85"/>
        <v>2</v>
      </c>
      <c r="CC66" s="68">
        <v>2</v>
      </c>
      <c r="CD66" s="37">
        <v>2</v>
      </c>
      <c r="CE66" s="37">
        <v>2</v>
      </c>
      <c r="CF66" s="37">
        <f t="shared" si="86"/>
        <v>3</v>
      </c>
      <c r="CG66" s="39">
        <f t="shared" si="87"/>
        <v>1</v>
      </c>
      <c r="CH66" s="37">
        <v>2</v>
      </c>
      <c r="CI66" s="37">
        <v>2</v>
      </c>
      <c r="CJ66" s="48">
        <f t="shared" si="88"/>
        <v>0</v>
      </c>
      <c r="CK66" s="68">
        <v>1</v>
      </c>
      <c r="CL66" s="37">
        <f t="shared" si="89"/>
        <v>0</v>
      </c>
      <c r="CM66" s="37">
        <v>74</v>
      </c>
      <c r="CN66" s="50">
        <v>88</v>
      </c>
      <c r="CO66" s="48">
        <f t="shared" si="90"/>
        <v>3</v>
      </c>
      <c r="CP66" s="37"/>
      <c r="CQ66" s="48">
        <f t="shared" si="91"/>
        <v>3</v>
      </c>
      <c r="CR66" s="68">
        <v>0</v>
      </c>
      <c r="CS66" s="37"/>
      <c r="CT66" s="37"/>
      <c r="CU66" s="37"/>
      <c r="CV66" s="37">
        <f t="shared" si="92"/>
        <v>5</v>
      </c>
      <c r="CW66" s="37">
        <v>6</v>
      </c>
      <c r="CX66" s="37">
        <v>6</v>
      </c>
      <c r="CY66" s="51">
        <f t="shared" si="93"/>
        <v>4</v>
      </c>
      <c r="CZ66" s="37"/>
      <c r="DA66" s="37">
        <v>19.670000000000002</v>
      </c>
      <c r="DB66" s="37">
        <f t="shared" si="94"/>
        <v>4</v>
      </c>
      <c r="DC66" s="39">
        <f t="shared" si="95"/>
        <v>1</v>
      </c>
      <c r="DD66" s="37">
        <v>80335051.439999998</v>
      </c>
      <c r="DE66" s="37">
        <v>80335051.439999998</v>
      </c>
      <c r="DF66" s="37">
        <f t="shared" si="96"/>
        <v>3</v>
      </c>
      <c r="DG66" s="39">
        <f t="shared" si="97"/>
        <v>0</v>
      </c>
      <c r="DH66" s="46">
        <v>0</v>
      </c>
      <c r="DI66" s="46">
        <v>80335051.439999998</v>
      </c>
      <c r="DJ66" s="37">
        <f t="shared" si="60"/>
        <v>3</v>
      </c>
      <c r="DK66" s="37"/>
      <c r="DL66" s="37"/>
      <c r="DM66" s="37">
        <f t="shared" si="98"/>
        <v>5</v>
      </c>
      <c r="DN66" s="52">
        <f t="shared" si="99"/>
        <v>1</v>
      </c>
      <c r="DO66" s="58">
        <v>32</v>
      </c>
      <c r="DP66" s="58">
        <v>32</v>
      </c>
      <c r="DQ66" s="37">
        <f t="shared" si="100"/>
        <v>4</v>
      </c>
      <c r="DR66" s="39">
        <f t="shared" si="101"/>
        <v>1</v>
      </c>
      <c r="DS66" s="58">
        <v>59</v>
      </c>
      <c r="DT66" s="58">
        <v>59</v>
      </c>
      <c r="DU66" s="54">
        <f t="shared" si="102"/>
        <v>52.99427752998804</v>
      </c>
      <c r="DV66" s="55">
        <f t="shared" si="103"/>
        <v>58</v>
      </c>
      <c r="DW66" s="4"/>
    </row>
    <row r="67" spans="1:127" ht="90">
      <c r="A67" s="35">
        <v>59</v>
      </c>
      <c r="B67" s="35">
        <v>25</v>
      </c>
      <c r="C67" s="56" t="s">
        <v>164</v>
      </c>
      <c r="D67" s="56" t="s">
        <v>224</v>
      </c>
      <c r="E67" s="37"/>
      <c r="F67" s="38"/>
      <c r="G67" s="57">
        <v>0</v>
      </c>
      <c r="H67" s="57" t="s">
        <v>225</v>
      </c>
      <c r="I67" s="37">
        <f>IF(K67/L67&lt;$L$7/100,0,IF(K67/L67&gt;$K$7/100,3,$I$7*(K67/L67-$L$7/100)/(($K$7-$L$7)/100)))</f>
        <v>0</v>
      </c>
      <c r="J67" s="39">
        <f t="shared" si="63"/>
        <v>0.54426850812731065</v>
      </c>
      <c r="K67" s="46">
        <v>404337.14</v>
      </c>
      <c r="L67" s="46">
        <v>742900.12</v>
      </c>
      <c r="M67" s="37"/>
      <c r="N67" s="39">
        <f t="shared" si="57"/>
        <v>0</v>
      </c>
      <c r="O67" s="45">
        <v>0</v>
      </c>
      <c r="P67" s="46"/>
      <c r="Q67" s="37">
        <f>IF(S67/T67&lt;$T$7/100,0,IF(S67/T67&gt;$S$7/100,3,$Q$7*(S67/T67-$T$7/100)/(($S$7-$T$7)/100)))</f>
        <v>0</v>
      </c>
      <c r="R67" s="39">
        <f t="shared" si="64"/>
        <v>0.54426850812731065</v>
      </c>
      <c r="S67" s="40">
        <f t="shared" si="65"/>
        <v>404337.14</v>
      </c>
      <c r="T67" s="41">
        <v>742900.12</v>
      </c>
      <c r="U67" s="37">
        <f t="shared" si="106"/>
        <v>0</v>
      </c>
      <c r="V67" s="39">
        <f t="shared" si="66"/>
        <v>9.6081650884627209E-2</v>
      </c>
      <c r="W67" s="65">
        <v>11579628.949999999</v>
      </c>
      <c r="X67" s="8">
        <v>525935.39</v>
      </c>
      <c r="Y67" s="8">
        <v>182564.37</v>
      </c>
      <c r="Z67" s="8">
        <v>182564.37</v>
      </c>
      <c r="AA67" s="40">
        <v>0</v>
      </c>
      <c r="AB67" s="40">
        <v>111244600</v>
      </c>
      <c r="AC67" s="37">
        <f t="shared" si="67"/>
        <v>0</v>
      </c>
      <c r="AD67" s="38">
        <f t="shared" si="68"/>
        <v>0.15745832834120146</v>
      </c>
      <c r="AE67" s="57">
        <v>9105881.2400000002</v>
      </c>
      <c r="AF67" s="57">
        <v>57830419.869999997</v>
      </c>
      <c r="AG67" s="37">
        <f t="shared" si="69"/>
        <v>1</v>
      </c>
      <c r="AH67" s="42">
        <f t="shared" si="70"/>
        <v>4</v>
      </c>
      <c r="AI67" s="42">
        <v>9</v>
      </c>
      <c r="AJ67" s="42">
        <v>9</v>
      </c>
      <c r="AK67" s="37"/>
      <c r="AL67" s="42"/>
      <c r="AM67" s="63"/>
      <c r="AN67" s="37"/>
      <c r="AO67" s="37">
        <f t="shared" si="71"/>
        <v>2.8530431474380205</v>
      </c>
      <c r="AP67" s="39">
        <f t="shared" si="72"/>
        <v>4.8985617520659913E-2</v>
      </c>
      <c r="AQ67" s="57">
        <v>9105388.1400000006</v>
      </c>
      <c r="AR67" s="57">
        <v>185878806.90000001</v>
      </c>
      <c r="AS67" s="37">
        <f t="shared" si="73"/>
        <v>0</v>
      </c>
      <c r="AT67" s="39">
        <f t="shared" si="74"/>
        <v>0</v>
      </c>
      <c r="AU67" s="45">
        <f t="shared" si="75"/>
        <v>0</v>
      </c>
      <c r="AV67" s="46">
        <f t="shared" si="76"/>
        <v>111244600</v>
      </c>
      <c r="AW67" s="37">
        <f t="shared" si="107"/>
        <v>0</v>
      </c>
      <c r="AX67" s="39">
        <f>AY67/AZ67-1</f>
        <v>-1</v>
      </c>
      <c r="AY67" s="66">
        <v>0</v>
      </c>
      <c r="AZ67" s="63">
        <v>746409.2</v>
      </c>
      <c r="BA67" s="37">
        <v>2</v>
      </c>
      <c r="BB67" s="37" t="s">
        <v>226</v>
      </c>
      <c r="BC67" s="37">
        <v>0</v>
      </c>
      <c r="BD67" s="37">
        <f t="shared" si="77"/>
        <v>1</v>
      </c>
      <c r="BE67" s="39">
        <f t="shared" si="78"/>
        <v>0</v>
      </c>
      <c r="BF67" s="37">
        <v>0</v>
      </c>
      <c r="BG67" s="63">
        <v>7868171.7699999996</v>
      </c>
      <c r="BH67" s="37">
        <f t="shared" si="79"/>
        <v>1</v>
      </c>
      <c r="BI67" s="37">
        <v>0</v>
      </c>
      <c r="BJ67" s="37">
        <v>1195821.7</v>
      </c>
      <c r="BK67" s="37">
        <f t="shared" si="80"/>
        <v>4</v>
      </c>
      <c r="BL67" s="38">
        <f t="shared" si="81"/>
        <v>0</v>
      </c>
      <c r="BM67" s="37">
        <v>0</v>
      </c>
      <c r="BN67" s="63">
        <v>5206.95</v>
      </c>
      <c r="BO67" s="37">
        <v>0</v>
      </c>
      <c r="BP67" s="63">
        <v>7255.8</v>
      </c>
      <c r="BQ67" s="37">
        <f t="shared" si="105"/>
        <v>0</v>
      </c>
      <c r="BR67" s="39">
        <f t="shared" si="82"/>
        <v>1.3399796323095887E-6</v>
      </c>
      <c r="BS67" s="37">
        <v>1</v>
      </c>
      <c r="BT67" s="63">
        <v>1</v>
      </c>
      <c r="BU67" s="37">
        <v>12</v>
      </c>
      <c r="BV67" s="63">
        <v>62190</v>
      </c>
      <c r="BW67" s="37">
        <f t="shared" si="104"/>
        <v>0</v>
      </c>
      <c r="BX67" s="39">
        <f t="shared" si="83"/>
        <v>0.18362018255268123</v>
      </c>
      <c r="BY67" s="37">
        <v>20426753.760000002</v>
      </c>
      <c r="BZ67" s="66">
        <v>111244600</v>
      </c>
      <c r="CA67" s="48">
        <f t="shared" si="84"/>
        <v>2</v>
      </c>
      <c r="CB67" s="49">
        <f t="shared" si="85"/>
        <v>3</v>
      </c>
      <c r="CC67" s="37">
        <v>3</v>
      </c>
      <c r="CD67" s="37">
        <v>3</v>
      </c>
      <c r="CE67" s="37">
        <v>2</v>
      </c>
      <c r="CF67" s="37">
        <f t="shared" si="86"/>
        <v>3</v>
      </c>
      <c r="CG67" s="39">
        <f t="shared" si="87"/>
        <v>1</v>
      </c>
      <c r="CH67" s="37">
        <v>1</v>
      </c>
      <c r="CI67" s="37">
        <v>1</v>
      </c>
      <c r="CJ67" s="48">
        <f t="shared" si="88"/>
        <v>0</v>
      </c>
      <c r="CK67" s="63">
        <v>1</v>
      </c>
      <c r="CL67" s="37">
        <f t="shared" si="89"/>
        <v>0</v>
      </c>
      <c r="CM67" s="50">
        <v>61</v>
      </c>
      <c r="CN67" s="50">
        <v>88</v>
      </c>
      <c r="CO67" s="48">
        <f t="shared" si="90"/>
        <v>0</v>
      </c>
      <c r="CP67" s="37">
        <v>1</v>
      </c>
      <c r="CQ67" s="48">
        <f t="shared" si="91"/>
        <v>3</v>
      </c>
      <c r="CR67" s="63"/>
      <c r="CS67" s="37"/>
      <c r="CT67" s="37"/>
      <c r="CU67" s="37"/>
      <c r="CV67" s="37">
        <f t="shared" si="92"/>
        <v>5</v>
      </c>
      <c r="CW67" s="37">
        <v>6</v>
      </c>
      <c r="CX67" s="37">
        <v>6</v>
      </c>
      <c r="CY67" s="51">
        <f t="shared" si="93"/>
        <v>4</v>
      </c>
      <c r="CZ67" s="37"/>
      <c r="DA67" s="37">
        <v>68.59</v>
      </c>
      <c r="DB67" s="37">
        <f t="shared" si="94"/>
        <v>4</v>
      </c>
      <c r="DC67" s="39">
        <f t="shared" si="95"/>
        <v>1</v>
      </c>
      <c r="DD67" s="68">
        <v>169262821.19</v>
      </c>
      <c r="DE67" s="68">
        <v>169262821.19</v>
      </c>
      <c r="DF67" s="37">
        <f t="shared" si="96"/>
        <v>3</v>
      </c>
      <c r="DG67" s="39">
        <f t="shared" si="97"/>
        <v>0</v>
      </c>
      <c r="DH67" s="46">
        <v>0</v>
      </c>
      <c r="DI67" s="46">
        <v>168858484.05000001</v>
      </c>
      <c r="DJ67" s="37">
        <f t="shared" si="60"/>
        <v>3</v>
      </c>
      <c r="DK67" s="37"/>
      <c r="DL67" s="37"/>
      <c r="DM67" s="37">
        <f t="shared" si="98"/>
        <v>5</v>
      </c>
      <c r="DN67" s="52">
        <f t="shared" si="99"/>
        <v>1</v>
      </c>
      <c r="DO67" s="64">
        <v>7</v>
      </c>
      <c r="DP67" s="64">
        <v>7</v>
      </c>
      <c r="DQ67" s="37">
        <f t="shared" si="100"/>
        <v>4</v>
      </c>
      <c r="DR67" s="39">
        <f t="shared" si="101"/>
        <v>1</v>
      </c>
      <c r="DS67" s="64">
        <v>15</v>
      </c>
      <c r="DT67" s="64">
        <v>15</v>
      </c>
      <c r="DU67" s="54">
        <f t="shared" si="102"/>
        <v>47.853043147438022</v>
      </c>
      <c r="DV67" s="55">
        <f t="shared" si="103"/>
        <v>59</v>
      </c>
      <c r="DW67" s="4"/>
    </row>
    <row r="68" spans="1:127">
      <c r="A68" s="34"/>
      <c r="B68" s="34"/>
      <c r="C68" s="34"/>
      <c r="D68" s="34"/>
      <c r="E68" s="34"/>
      <c r="F68" s="38">
        <f>IF(H68=0,0,G68/H68)</f>
        <v>1.103235900810192</v>
      </c>
      <c r="G68" s="82">
        <f>SUM(G9:G67)</f>
        <v>2064512616.7299993</v>
      </c>
      <c r="H68" s="82">
        <f t="shared" ref="H68" si="108">SUM(H9:H67)</f>
        <v>1871324723.2199996</v>
      </c>
      <c r="I68" s="83"/>
      <c r="J68" s="39">
        <f t="shared" si="63"/>
        <v>0.89107305123692582</v>
      </c>
      <c r="K68" s="82">
        <f t="shared" ref="K68" si="109">SUM(K9:K67)</f>
        <v>1946896171.3</v>
      </c>
      <c r="L68" s="82">
        <f t="shared" ref="L68" si="110">SUM(L9:L67)</f>
        <v>2184889520.1099997</v>
      </c>
      <c r="M68" s="83"/>
      <c r="N68" s="39">
        <f t="shared" si="57"/>
        <v>1.2240643655877133</v>
      </c>
      <c r="O68" s="84">
        <f t="shared" ref="O68" si="111">SUM(O9:O67)</f>
        <v>2038258305.019999</v>
      </c>
      <c r="P68" s="84">
        <f t="shared" ref="P68" si="112">SUM(P9:P67)</f>
        <v>1665156148.9100001</v>
      </c>
      <c r="Q68" s="83"/>
      <c r="R68" s="83">
        <f>SUM(R9:R67)</f>
        <v>38.42272991534238</v>
      </c>
      <c r="S68" s="85">
        <f>SUM(S9:S67)</f>
        <v>1946896171.3</v>
      </c>
      <c r="T68" s="85">
        <f>SUM(T9:T67)</f>
        <v>2100494654.4599998</v>
      </c>
      <c r="U68" s="83"/>
      <c r="V68" s="83">
        <f t="shared" ref="V68:AB68" si="113">SUM(V9:V67)</f>
        <v>-7.0960705557117985</v>
      </c>
      <c r="W68" s="86">
        <f t="shared" si="113"/>
        <v>45490287.060000002</v>
      </c>
      <c r="X68" s="86">
        <f t="shared" si="113"/>
        <v>13371205.570000002</v>
      </c>
      <c r="Y68" s="86">
        <f t="shared" si="113"/>
        <v>487991965.31999999</v>
      </c>
      <c r="Z68" s="86">
        <f t="shared" si="113"/>
        <v>315818695.63999999</v>
      </c>
      <c r="AA68" s="86">
        <f t="shared" si="113"/>
        <v>0</v>
      </c>
      <c r="AB68" s="86">
        <f t="shared" si="113"/>
        <v>6425826624.6499996</v>
      </c>
      <c r="AC68" s="83"/>
      <c r="AD68" s="87">
        <f>SUM(AD9:AD67)</f>
        <v>28.24824742348672</v>
      </c>
      <c r="AE68" s="88">
        <f>SUM(AE9:AE67)</f>
        <v>152355992.19000003</v>
      </c>
      <c r="AF68" s="88">
        <f>SUM(AF9:AF67)</f>
        <v>833767705.57999992</v>
      </c>
      <c r="AG68" s="83"/>
      <c r="AH68" s="83">
        <f>SUM(AH9:AH67)</f>
        <v>272</v>
      </c>
      <c r="AI68" s="83">
        <f>SUM(AI9:AI67)</f>
        <v>1025</v>
      </c>
      <c r="AJ68" s="83">
        <f>SUM(AJ9:AJ67)</f>
        <v>989</v>
      </c>
      <c r="AK68" s="83"/>
      <c r="AL68" s="83">
        <f>SUM(AL9:AL67)</f>
        <v>0</v>
      </c>
      <c r="AM68" s="83">
        <f>SUM(AM9:AM67)</f>
        <v>0</v>
      </c>
      <c r="AN68" s="83">
        <f>SUM(AN9:AN67)</f>
        <v>0</v>
      </c>
      <c r="AO68" s="83"/>
      <c r="AP68" s="39">
        <f t="shared" ref="AP68" si="114">IF(AR68=0,0,AQ68/AR68)</f>
        <v>1.7120935074996305E-2</v>
      </c>
      <c r="AQ68" s="88">
        <f>SUM(AQ9:AQ67)</f>
        <v>144557965.35000002</v>
      </c>
      <c r="AR68" s="88">
        <f>SUM(AR9:AR67)</f>
        <v>8443345221.3200006</v>
      </c>
      <c r="AS68" s="83"/>
      <c r="AT68" s="39">
        <f t="shared" si="74"/>
        <v>0.24081260076621983</v>
      </c>
      <c r="AU68" s="89">
        <f>SUM(AU9:AU67)</f>
        <v>2038258305.019999</v>
      </c>
      <c r="AV68" s="89">
        <f>SUM(AV9:AV67)</f>
        <v>6425826624.6499996</v>
      </c>
      <c r="AW68" s="83"/>
      <c r="AX68" s="83">
        <f>SUM(AX9:AX67)</f>
        <v>137.66660859944267</v>
      </c>
      <c r="AY68" s="89">
        <f>SUM(AY9:AY67)</f>
        <v>2038258304.519999</v>
      </c>
      <c r="AZ68" s="89">
        <f>SUM(AZ9:AZ67)</f>
        <v>1761784847.3899994</v>
      </c>
      <c r="BA68" s="83"/>
      <c r="BB68" s="89">
        <f>SUM(BB9:BB67)</f>
        <v>2038258305.019999</v>
      </c>
      <c r="BC68" s="90">
        <f>SUM(BC9:BC67)</f>
        <v>0</v>
      </c>
      <c r="BD68" s="83"/>
      <c r="BE68" s="83">
        <f>SUM(BE9:BE67)</f>
        <v>0</v>
      </c>
      <c r="BF68" s="83">
        <f>SUM(BF9:BF67)</f>
        <v>0</v>
      </c>
      <c r="BG68" s="90">
        <f>SUM(BG9:BG67)</f>
        <v>222853273.67000002</v>
      </c>
      <c r="BH68" s="83"/>
      <c r="BI68" s="82">
        <f>SUM(BI9:BI67)</f>
        <v>0</v>
      </c>
      <c r="BJ68" s="91">
        <f>SUM(BJ9:BJ67)</f>
        <v>2113672577.0199997</v>
      </c>
      <c r="BK68" s="83"/>
      <c r="BL68" s="83">
        <f>SUM(BL9:BL67)</f>
        <v>0</v>
      </c>
      <c r="BM68" s="84">
        <f>SUM(BM9:BM67)</f>
        <v>0</v>
      </c>
      <c r="BN68" s="91">
        <f>SUM(BN9:BN67)</f>
        <v>4346345.2200000016</v>
      </c>
      <c r="BO68" s="91">
        <f>SUM(BO9:BO67)</f>
        <v>576.18999999999994</v>
      </c>
      <c r="BP68" s="91">
        <f>SUM(BP9:BP67)</f>
        <v>530542.92999999993</v>
      </c>
      <c r="BQ68" s="83"/>
      <c r="BR68" s="83"/>
      <c r="BS68" s="82">
        <f>SUM(BS9:BS67)</f>
        <v>1591526286.2500002</v>
      </c>
      <c r="BT68" s="83">
        <f>SUM(BT9:BT67)</f>
        <v>2327.3399999999997</v>
      </c>
      <c r="BU68" s="83">
        <f>SUM(BU9:BU67)</f>
        <v>708</v>
      </c>
      <c r="BV68" s="83">
        <f>SUM(BV9:BV67)</f>
        <v>3585940.3299999996</v>
      </c>
      <c r="BW68" s="83"/>
      <c r="BX68" s="83">
        <f>SUM(BX9:BX67)</f>
        <v>39.352479616807472</v>
      </c>
      <c r="BY68" s="89">
        <f>SUM(BY9:BY67)</f>
        <v>5726790915.4099998</v>
      </c>
      <c r="BZ68" s="89">
        <f>SUM(BZ9:BZ67)</f>
        <v>8392211660.6099977</v>
      </c>
      <c r="CA68" s="83"/>
      <c r="CB68" s="83">
        <f>SUM(CB9:CB67)</f>
        <v>99.889610389610382</v>
      </c>
      <c r="CC68" s="83">
        <f>SUM(CC9:CC67)</f>
        <v>190</v>
      </c>
      <c r="CD68" s="83">
        <f>SUM(CD9:CD67)</f>
        <v>168</v>
      </c>
      <c r="CE68" s="83">
        <f>SUM(CE9:CE67)</f>
        <v>217</v>
      </c>
      <c r="CF68" s="83"/>
      <c r="CG68" s="83">
        <f>SUM(CG9:CG67)</f>
        <v>58.333333333333329</v>
      </c>
      <c r="CH68" s="82">
        <f>SUM(CH9:CH67)</f>
        <v>335</v>
      </c>
      <c r="CI68" s="82">
        <f>SUM(CI9:CI67)</f>
        <v>337</v>
      </c>
      <c r="CJ68" s="83">
        <f>SUM(CJ9:CJ67)</f>
        <v>25</v>
      </c>
      <c r="CK68" s="83">
        <f>SUM(CK9:CK67)</f>
        <v>54</v>
      </c>
      <c r="CL68" s="83"/>
      <c r="CM68" s="83">
        <f>SUM(CM9:CM67)</f>
        <v>4625</v>
      </c>
      <c r="CN68" s="83">
        <f>SUM(CN9:CN67)</f>
        <v>5192</v>
      </c>
      <c r="CO68" s="83"/>
      <c r="CP68" s="82">
        <f>SUM(CP9:CP67)</f>
        <v>8</v>
      </c>
      <c r="CQ68" s="83"/>
      <c r="CR68" s="83">
        <f>SUM(CR9:CR67)</f>
        <v>2</v>
      </c>
      <c r="CS68" s="83"/>
      <c r="CT68" s="82">
        <f>SUM(CT9:CT67)</f>
        <v>0</v>
      </c>
      <c r="CU68" s="83">
        <f>SUM(CU9:CU67)</f>
        <v>0</v>
      </c>
      <c r="CV68" s="83"/>
      <c r="CW68" s="82">
        <f>SUM(CW9:CW67)</f>
        <v>358</v>
      </c>
      <c r="CX68" s="82">
        <f>SUM(CX9:CX67)</f>
        <v>359</v>
      </c>
      <c r="CY68" s="83"/>
      <c r="CZ68" s="37"/>
      <c r="DA68" s="37">
        <v>50.45</v>
      </c>
      <c r="DB68" s="83"/>
      <c r="DC68" s="39">
        <f t="shared" ref="DC68" si="115">DD68/DE68</f>
        <v>0.99963808475107763</v>
      </c>
      <c r="DD68" s="89">
        <f>SUM(DD9:DD67)</f>
        <v>9574634987.7000008</v>
      </c>
      <c r="DE68" s="89">
        <f>SUM(DE9:DE67)</f>
        <v>9578101448.6700001</v>
      </c>
      <c r="DF68" s="83"/>
      <c r="DG68" s="92">
        <f>SUM(DG9:DG67)</f>
        <v>0</v>
      </c>
      <c r="DH68" s="91">
        <f>SUM(DH9:DH67)</f>
        <v>0</v>
      </c>
      <c r="DI68" s="84">
        <f>SUM(DI9:DI67)</f>
        <v>8043989512.2500019</v>
      </c>
      <c r="DJ68" s="93"/>
      <c r="DK68" s="93">
        <f>SUM(DK9:DK67)</f>
        <v>0</v>
      </c>
      <c r="DL68" s="83">
        <f>SUM(DL9:DL67)</f>
        <v>0</v>
      </c>
      <c r="DM68" s="83"/>
      <c r="DN68" s="83">
        <f>SUM(DN9:DN67)</f>
        <v>59</v>
      </c>
      <c r="DO68" s="83">
        <f>SUM(DO9:DO67)</f>
        <v>1454</v>
      </c>
      <c r="DP68" s="83">
        <f>SUM(DP9:DP67)</f>
        <v>1454</v>
      </c>
      <c r="DQ68" s="83"/>
      <c r="DR68" s="83">
        <f>SUM(DR9:DR67)</f>
        <v>59.137174935028391</v>
      </c>
      <c r="DS68" s="83">
        <f>SUM(DS9:DS67)</f>
        <v>6445.4</v>
      </c>
      <c r="DT68" s="83">
        <f>SUM(DT9:DT67)</f>
        <v>6441.4</v>
      </c>
      <c r="DU68" s="82"/>
      <c r="DV68" s="34"/>
      <c r="DW68" s="4"/>
    </row>
    <row r="70" spans="1:127">
      <c r="G70" s="4"/>
    </row>
  </sheetData>
  <autoFilter ref="A8:DV68"/>
  <sortState ref="A9:DV67">
    <sortCondition ref="DV9:DV67"/>
  </sortState>
  <mergeCells count="60">
    <mergeCell ref="V3:V4"/>
    <mergeCell ref="DU1:DU7"/>
    <mergeCell ref="DV1:DV7"/>
    <mergeCell ref="C6:D7"/>
    <mergeCell ref="C5:D5"/>
    <mergeCell ref="CM4:CN4"/>
    <mergeCell ref="J3:J4"/>
    <mergeCell ref="N3:N4"/>
    <mergeCell ref="R3:R4"/>
    <mergeCell ref="CY2:DA2"/>
    <mergeCell ref="DB2:DE2"/>
    <mergeCell ref="DF2:DI2"/>
    <mergeCell ref="DJ2:DL2"/>
    <mergeCell ref="DM2:DP2"/>
    <mergeCell ref="CL2:CN2"/>
    <mergeCell ref="A1:A7"/>
    <mergeCell ref="C1:C3"/>
    <mergeCell ref="D1:D3"/>
    <mergeCell ref="F3:F4"/>
    <mergeCell ref="DQ2:DT2"/>
    <mergeCell ref="C4:D4"/>
    <mergeCell ref="X4:AA4"/>
    <mergeCell ref="AU4:AV4"/>
    <mergeCell ref="AY4:AZ4"/>
    <mergeCell ref="BB4:BC4"/>
    <mergeCell ref="BF4:BG4"/>
    <mergeCell ref="BI4:BJ4"/>
    <mergeCell ref="BM4:BP4"/>
    <mergeCell ref="BS4:BV4"/>
    <mergeCell ref="CC4:CE4"/>
    <mergeCell ref="CH4:CI4"/>
    <mergeCell ref="CO2:CP2"/>
    <mergeCell ref="CQ2:CR2"/>
    <mergeCell ref="CS2:CU2"/>
    <mergeCell ref="CV2:CX2"/>
    <mergeCell ref="BQ2:BV2"/>
    <mergeCell ref="BW2:BZ2"/>
    <mergeCell ref="CA2:CE2"/>
    <mergeCell ref="CF2:CI2"/>
    <mergeCell ref="CJ2:CK2"/>
    <mergeCell ref="AW2:AZ2"/>
    <mergeCell ref="BA2:BC2"/>
    <mergeCell ref="BD2:BG2"/>
    <mergeCell ref="BH2:BJ2"/>
    <mergeCell ref="BK2:BP2"/>
    <mergeCell ref="AC2:AF2"/>
    <mergeCell ref="AG2:AJ2"/>
    <mergeCell ref="AK2:AN2"/>
    <mergeCell ref="AO2:AR2"/>
    <mergeCell ref="AS2:AV2"/>
    <mergeCell ref="E2:H2"/>
    <mergeCell ref="I2:L2"/>
    <mergeCell ref="M2:P2"/>
    <mergeCell ref="Q2:T2"/>
    <mergeCell ref="U2:AB2"/>
    <mergeCell ref="E1:AR1"/>
    <mergeCell ref="AS1:BP1"/>
    <mergeCell ref="BQ1:CE1"/>
    <mergeCell ref="CF1:DA1"/>
    <mergeCell ref="DB1:DT1"/>
  </mergeCells>
  <pageMargins left="0.23622047244094499" right="0.23622047244094499" top="0.74803149606299202" bottom="0.74803149606299202" header="0.31496062992126" footer="0.31496062992126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Игоревна Громова</dc:creator>
  <cp:lastModifiedBy>Елена Владимировна Бойцова</cp:lastModifiedBy>
  <cp:lastPrinted>2023-05-02T13:28:00Z</cp:lastPrinted>
  <dcterms:created xsi:type="dcterms:W3CDTF">2023-03-30T11:15:00Z</dcterms:created>
  <dcterms:modified xsi:type="dcterms:W3CDTF">2025-06-20T14:40:07Z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561EAC3E71BB4E1990254AA8B8373926_13</vt:lpwstr>
  </property>
  <property fmtid="{D5CDD505-2E9C-101B-9397-08002B2CF9AE}" pid="3" name="KSOProductBuildVer">
    <vt:lpwstr>1049-12.2.0.20795</vt:lpwstr>
  </property>
</Properties>
</file>